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835" windowHeight="13545" tabRatio="762" activeTab="0"/>
  </bookViews>
  <sheets>
    <sheet name="System Sizing Calculator" sheetId="1" r:id="rId1"/>
    <sheet name="Data" sheetId="2" r:id="rId2"/>
  </sheets>
  <definedNames>
    <definedName name="_xlnm.Print_Area" localSheetId="0">'System Sizing Calculator'!$A$1:$P$74</definedName>
    <definedName name="_xlnm.Print_Titles" localSheetId="0">'System Sizing Calculator'!$1:$2</definedName>
  </definedNames>
  <calcPr fullCalcOnLoad="1"/>
</workbook>
</file>

<file path=xl/comments1.xml><?xml version="1.0" encoding="utf-8"?>
<comments xmlns="http://schemas.openxmlformats.org/spreadsheetml/2006/main">
  <authors>
    <author>TWDB</author>
  </authors>
  <commentList>
    <comment ref="B33" authorId="0">
      <text>
        <r>
          <rPr>
            <sz val="9"/>
            <rFont val="Tahoma"/>
            <family val="2"/>
          </rPr>
          <t>From the look-up table in Cells A1-N20 of the Data tab.</t>
        </r>
      </text>
    </comment>
    <comment ref="C33" authorId="0">
      <text>
        <r>
          <rPr>
            <sz val="9"/>
            <rFont val="Tahoma"/>
            <family val="2"/>
          </rPr>
          <t>Value in Column B multiplied by the conversion factor of 0.62.</t>
        </r>
      </text>
    </comment>
    <comment ref="D33" authorId="0">
      <text>
        <r>
          <rPr>
            <sz val="9"/>
            <rFont val="Tahoma"/>
            <family val="2"/>
          </rPr>
          <t>Value in Column C multiplied by the size of the collection area shown in Cell H22.</t>
        </r>
      </text>
    </comment>
    <comment ref="E33" authorId="0">
      <text>
        <r>
          <rPr>
            <sz val="9"/>
            <rFont val="Tahoma"/>
            <family val="2"/>
          </rPr>
          <t>Value in Column D multiplied by the Runoff Coefficient shown in Cell H23.</t>
        </r>
      </text>
    </comment>
    <comment ref="F33" authorId="0">
      <text>
        <r>
          <rPr>
            <sz val="9"/>
            <rFont val="Tahoma"/>
            <family val="2"/>
          </rPr>
          <t>If the "Supply is greater than (&gt;) the tank capacity," you may want to consider increasing the storage capacity of your rainwater harvesting system to better utilize the resource.</t>
        </r>
      </text>
    </comment>
    <comment ref="G33" authorId="0">
      <text>
        <r>
          <rPr>
            <sz val="9"/>
            <rFont val="Tahoma"/>
            <family val="2"/>
          </rPr>
          <t>From the look-up table in Cells P1-AC20 of the Data tab.</t>
        </r>
      </text>
    </comment>
    <comment ref="H33" authorId="0">
      <text>
        <r>
          <rPr>
            <sz val="9"/>
            <rFont val="Tahoma"/>
            <family val="2"/>
          </rPr>
          <t>Value in Column G multiplied by the Plant Water Use Coefficient shown in Cell H24.</t>
        </r>
      </text>
    </comment>
    <comment ref="I33" authorId="0">
      <text>
        <r>
          <rPr>
            <sz val="9"/>
            <rFont val="Tahoma"/>
            <family val="2"/>
          </rPr>
          <t>Value in Column H multiplied by the conversion factor of 0.62.</t>
        </r>
      </text>
    </comment>
    <comment ref="J33" authorId="0">
      <text>
        <r>
          <rPr>
            <sz val="9"/>
            <rFont val="Tahoma"/>
            <family val="2"/>
          </rPr>
          <t>Value in Column I multiplied by the size of the irrigation area shown in Cell H25.
November through February will be zero if you elected not to irrigate during this time.</t>
        </r>
      </text>
    </comment>
    <comment ref="L33" authorId="0">
      <text>
        <r>
          <rPr>
            <sz val="9"/>
            <rFont val="Tahoma"/>
            <family val="2"/>
          </rPr>
          <t>Value from Cell A17.</t>
        </r>
      </text>
    </comment>
    <comment ref="M33" authorId="0">
      <text>
        <r>
          <rPr>
            <sz val="9"/>
            <rFont val="Tahoma"/>
            <family val="2"/>
          </rPr>
          <t>Value in Column J, minus the value in Column K,  plus the value in Column L (J - K + L).
If the rainfall on the irrigated area (Col. K) is greater than the outdoor demand (Col. J), then the assumption is made that no irrigation is needed for the month and the Total Monthly Demand is equal to the Monthly Indoor Demand (if any).</t>
        </r>
      </text>
    </comment>
    <comment ref="G54" authorId="0">
      <text>
        <r>
          <rPr>
            <sz val="9"/>
            <rFont val="Tahoma"/>
            <family val="2"/>
          </rPr>
          <t>You may wish to divert a higher volume of rainwater if the time between rain events is long, the collection surface is rough, the slope of the collection area is flat, or the intensity of the average rain event is low.</t>
        </r>
      </text>
    </comment>
    <comment ref="O33" authorId="0">
      <text>
        <r>
          <rPr>
            <sz val="9"/>
            <rFont val="Tahoma"/>
            <family val="2"/>
          </rPr>
          <t>If the "Demand is greater than (&gt;) the supply," you may want to consider decreasing the size of the irrigation area, choosing plants that use less water, increasing the size of the collection area, or adding storage capacity.
The calculation makes the assumption that the supply arrives prior to the demand for the month.  If the tank is already full from the previous month, the new supply volume would be lost to overflow.</t>
        </r>
      </text>
    </comment>
    <comment ref="N33" authorId="0">
      <text>
        <r>
          <rPr>
            <sz val="9"/>
            <rFont val="Tahoma"/>
            <family val="2"/>
          </rPr>
          <t>The calculation makes the assumption that the supply arrives prior to the demand for the month.  If the tank is already full from the previous month, the new supply volume would be lost to overflow.</t>
        </r>
      </text>
    </comment>
    <comment ref="B17" authorId="0">
      <text>
        <r>
          <rPr>
            <b/>
            <sz val="9"/>
            <rFont val="Tahoma"/>
            <family val="2"/>
          </rPr>
          <t xml:space="preserve">Source:
</t>
        </r>
        <r>
          <rPr>
            <sz val="9"/>
            <rFont val="Tahoma"/>
            <family val="2"/>
          </rPr>
          <t>http://www.twdb.state.tx.us/assistance/conservation/Documents/ConservingWaterIndoors.pdf</t>
        </r>
      </text>
    </comment>
    <comment ref="B68" authorId="0">
      <text>
        <r>
          <rPr>
            <sz val="9"/>
            <rFont val="Tahoma"/>
            <family val="2"/>
          </rPr>
          <t xml:space="preserve">Some utilities perform what is often referred to as </t>
        </r>
        <r>
          <rPr>
            <b/>
            <sz val="9"/>
            <rFont val="Tahoma"/>
            <family val="2"/>
          </rPr>
          <t>Wastewater Averaging</t>
        </r>
        <r>
          <rPr>
            <sz val="9"/>
            <rFont val="Tahoma"/>
            <family val="2"/>
          </rPr>
          <t xml:space="preserve"> in order to better estimate the volume of wastewater that a connection generates when there is only a meter on the water supply side.  This calculation is done during the late fall and winter when outdoor water use is minimal, and the metered water use is typically more reflective of the volume of wastewater generated.  The procedure develops a charge cap that is applied to the wastewater portion of the bill for the upcoming year.</t>
        </r>
      </text>
    </comment>
    <comment ref="B67" authorId="0">
      <text>
        <r>
          <rPr>
            <sz val="9"/>
            <rFont val="Tahoma"/>
            <family val="2"/>
          </rPr>
          <t>For estimation purposes, select the highest rate tier you are typically charged on your monthly municipal water bill.  If your monthly consumption of municipal water is near the bottom of a rate tier, you may also wish to run the simulation using the rate for the next lower tier and compare the results.  You can refer to the estimated monthly volume of rainwater used (Cells N34 to N45) to determine if the amount of rainwater used would drop you to a lower municipal water rate tier.</t>
        </r>
      </text>
    </comment>
    <comment ref="K33" authorId="0">
      <text>
        <r>
          <rPr>
            <sz val="9"/>
            <rFont val="Tahoma"/>
            <family val="2"/>
          </rPr>
          <t xml:space="preserve">Technically, this is a </t>
        </r>
        <r>
          <rPr>
            <b/>
            <u val="single"/>
            <sz val="9"/>
            <color indexed="12"/>
            <rFont val="Tahoma"/>
            <family val="2"/>
          </rPr>
          <t>SUPPLY</t>
        </r>
        <r>
          <rPr>
            <sz val="9"/>
            <rFont val="Tahoma"/>
            <family val="2"/>
          </rPr>
          <t>, but it is placed next to the outdoor demand so the user can better visualize the relationship.  It is the rainfall value in Column C multiplied by the size of the irrigation area shown in Cell H25.
The assumption is made that any rain falling directly on the irrigated area is absorbed into the soil and utilized by the plants, with no water lost to runoff or evaporation.</t>
        </r>
      </text>
    </comment>
    <comment ref="H23" authorId="0">
      <text>
        <r>
          <rPr>
            <sz val="9"/>
            <rFont val="Tahoma"/>
            <family val="2"/>
          </rPr>
          <t xml:space="preserve">The </t>
        </r>
        <r>
          <rPr>
            <b/>
            <sz val="9"/>
            <rFont val="Tahoma"/>
            <family val="2"/>
          </rPr>
          <t>Runoff Coefficient</t>
        </r>
        <r>
          <rPr>
            <sz val="9"/>
            <rFont val="Tahoma"/>
            <family val="2"/>
          </rPr>
          <t xml:space="preserve"> is the percentage of the total precipitation that falls on a collection area and runs off the surface to potentially be collected.  Surfaces that are smooth and non-porous generally have a higher percentage of runoff.  These values are approximations and are based on the typical construction method of the roof type.  It does not account for wind, evaporation, etc., and assumes that the gutter system is properly installed and maintained.  The value is unitless and is from the look-up table in the Data tab of this spreadsheet.</t>
        </r>
      </text>
    </comment>
    <comment ref="H24" authorId="0">
      <text>
        <r>
          <rPr>
            <sz val="9"/>
            <rFont val="Tahoma"/>
            <family val="2"/>
          </rPr>
          <t xml:space="preserve">The </t>
        </r>
        <r>
          <rPr>
            <b/>
            <sz val="9"/>
            <rFont val="Tahoma"/>
            <family val="2"/>
          </rPr>
          <t>Plant Water Use Coefficient</t>
        </r>
        <r>
          <rPr>
            <sz val="9"/>
            <rFont val="Tahoma"/>
            <family val="2"/>
          </rPr>
          <t xml:space="preserve"> is the percentage of the evapotranspiration (ETo) that a given type of plant needs for growth and/or healthy appearance.  The value may also be referred to as the crop coefficient, plant factor, or landscape coefficient, and is typically in the range from 0.1 (low) to 1.2 (high).  Drought-tolerant, native plants are in the lower end of this range, and plants like cool-season turf grasses and garden vegetables are at the higher end of the range.  The value is unitless and is from the look-up table in the Data tab of this spreadsheet.</t>
        </r>
      </text>
    </comment>
  </commentList>
</comments>
</file>

<file path=xl/comments2.xml><?xml version="1.0" encoding="utf-8"?>
<comments xmlns="http://schemas.openxmlformats.org/spreadsheetml/2006/main">
  <authors>
    <author>TWDB</author>
  </authors>
  <commentList>
    <comment ref="B2" authorId="0">
      <text>
        <r>
          <rPr>
            <sz val="8"/>
            <rFont val="Tahoma"/>
            <family val="2"/>
          </rPr>
          <t>Station No.:  002
Station Name:  ABILENE MUNICIPAL AP
Latitude:  32 25 N
Longitude:  99 41 W
Elevation:  1790 ft. amsl
Source:  CLIMATOGRAPHY OF THE UNITED STATES NO. 81, Monthly Normals of Temperature, Precipitation, and Heating and Cooling Degree Days, 1971-2000, Page 32.</t>
        </r>
      </text>
    </comment>
    <comment ref="B3" authorId="0">
      <text>
        <r>
          <rPr>
            <sz val="8"/>
            <rFont val="Tahoma"/>
            <family val="2"/>
          </rPr>
          <t>Station No.:  012
Station Name:  AMARILLO INTL AP
Latitude:  35 13 N
Longitude:  101 42 W
Elevation:  3586 ft. amsl
Source:  CLIMATOGRAPHY OF THE UNITED STATES NO. 81, Monthly Normals of Temperature, Precipitation, and Heating and Cooling Degree Days, 1971-2000, Page 32.</t>
        </r>
      </text>
    </comment>
    <comment ref="B4" authorId="0">
      <text>
        <r>
          <rPr>
            <sz val="8"/>
            <rFont val="Tahoma"/>
            <family val="2"/>
          </rPr>
          <t>Station No.:  028
Station Name:  AUSTIN-BERGSTROM INTL AP
Latitude:  30 11 N
Longitude:  97 41 W
Elevation:  590 ft. amsl
Source:  CLIMATOGRAPHY OF THE UNITED STATES NO. 81, Monthly Normals of Temperature, Precipitation, and Heating and Cooling Degree Days, 1971-2000, Page 32.</t>
        </r>
      </text>
    </comment>
    <comment ref="B5" authorId="0">
      <text>
        <r>
          <rPr>
            <sz val="8"/>
            <rFont val="Tahoma"/>
            <family val="2"/>
          </rPr>
          <t>Station No.:  074
Station Name:  BROWNSVILLE AP
Latitude:  25 54 N
Longitude:  97 26 W
Elevation:  19 ft. amsl
Source:  CLIMATOGRAPHY OF THE UNITED STATES NO. 81, Monthly Normals of Temperature, Precipitation, and Heating and Cooling Degree Days, 1971-2000, Page 33.</t>
        </r>
      </text>
    </comment>
    <comment ref="B6" authorId="0">
      <text>
        <r>
          <rPr>
            <sz val="8"/>
            <rFont val="Tahoma"/>
            <family val="2"/>
          </rPr>
          <t>Station No.:  117
Station Name:  COLLEGE STATION ETRWD AP
Latitude:  30 35 N
Longitude:  96 22 W
Elevation:  314 ft. amsl
Source:  CLIMATOGRAPHY OF THE UNITED STATES NO. 81, Monthly Normals of Temperature, Precipitation, and Heating and Cooling Degree Days, 1971-2000, Page 33.</t>
        </r>
      </text>
    </comment>
    <comment ref="B7" authorId="0">
      <text>
        <r>
          <rPr>
            <sz val="8"/>
            <rFont val="Tahoma"/>
            <family val="2"/>
          </rPr>
          <t>Station No.:  129
Station Name:  CORPUS CHRISTI INTL AP
Latitude:  27 46 N
Longitude:  97 31 W
Elevation:  41 ft. amsl
Source:  CLIMATOGRAPHY OF THE UNITED STATES NO. 81, Monthly Normals of Temperature, Precipitation, and Heating and Cooling Degree Days, 1971-2000, Page 33.</t>
        </r>
      </text>
    </comment>
    <comment ref="B8" authorId="0">
      <text>
        <r>
          <rPr>
            <sz val="8"/>
            <rFont val="Tahoma"/>
            <family val="2"/>
          </rPr>
          <t>Station No.:  146
Station Name:  DALLAS-FT WORTH INTL AP
Latitude:  32 54 N
Longitude:  97 01 W
Elevation:  560 ft. amsl
Source:  CLIMATOGRAPHY OF THE UNITED STATES NO. 81, Monthly Normals of Temperature, Precipitation, and Heating and Cooling Degree Days, 1971-2000, Page 34.</t>
        </r>
      </text>
    </comment>
    <comment ref="B9" authorId="0">
      <text>
        <r>
          <rPr>
            <sz val="8"/>
            <rFont val="Tahoma"/>
            <family val="2"/>
          </rPr>
          <t>Station No.:  154
Station Name:  DEL RIO INTL AP
Latitude:  29 23 N
Longitude:  100 56 W
Elevation:  999 ft. amsl
Source:  CLIMATOGRAPHY OF THE UNITED STATES NO. 81, Monthly Normals of Temperature, Precipitation, and Heating and Cooling Degree Days, 1971-2000, Page 34.</t>
        </r>
      </text>
    </comment>
    <comment ref="B10" authorId="0">
      <text>
        <r>
          <rPr>
            <sz val="8"/>
            <rFont val="Tahoma"/>
            <family val="2"/>
          </rPr>
          <t>Station No.:  176
Station Name:  EL PASO INTL AP
Latitude:  31 49 N
Longitude:  106 23 W
Elevation:  3918 ft. amsl
Source:  CLIMATOGRAPHY OF THE UNITED STATES NO. 81, Monthly Normals of Temperature, Precipitation, and Heating and Cooling Degree Days, 1971-2000, Page 34.</t>
        </r>
      </text>
    </comment>
    <comment ref="B11" authorId="0">
      <text>
        <r>
          <rPr>
            <sz val="8"/>
            <rFont val="Tahoma"/>
            <family val="2"/>
          </rPr>
          <t>Station No.:  218
Station Name:  GALVESTON
Latitude:  29 20 N
Longitude:  94 47 W
Elevation:  10 ft. amsl
Source:  CLIMATOGRAPHY OF THE UNITED STATES NO. 81, Monthly Normals of Temperature, Precipitation, and Heating and Cooling Degree Days, 1971-2000, Page 35.</t>
        </r>
      </text>
    </comment>
    <comment ref="B12" authorId="0">
      <text>
        <r>
          <rPr>
            <sz val="8"/>
            <rFont val="Tahoma"/>
            <family val="2"/>
          </rPr>
          <t>Station No.:  263
Station Name:  HOUSTON BUSH INTL AP
Latitude:  30 00 N
Longitude:  95 22 W
Elevation:  95 ft. amsl
Source:  CLIMATOGRAPHY OF THE UNITED STATES NO. 81, Monthly Normals of Temperature, Precipitation, and Heating and Cooling Degree Days, 1971-2000, Page 35.</t>
        </r>
      </text>
    </comment>
    <comment ref="B13" authorId="0">
      <text>
        <r>
          <rPr>
            <sz val="8"/>
            <rFont val="Tahoma"/>
            <family val="2"/>
          </rPr>
          <t>Station No.:  337
Station Name:  LUBBOCK RGNL AP
Latitude:  33 40 N
Longitude:  101 49 W
Elevation:  3254 ft. amsl
Source:  CLIMATOGRAPHY OF THE UNITED STATES NO. 81, Monthly Normals of Temperature, Precipitation, and Heating and Cooling Degree Days, 1971-2000, Page 36.</t>
        </r>
      </text>
    </comment>
    <comment ref="B14" authorId="0">
      <text>
        <r>
          <rPr>
            <sz val="8"/>
            <rFont val="Tahoma"/>
            <family val="2"/>
          </rPr>
          <t>Station No.:  368
Station Name:  MIDLAND INTL AP
Latitude:  31 57 N
Longitude:  102 11 W
Elevation:  2862 ft. amsl
Source:  CLIMATOGRAPHY OF THE UNITED STATES NO. 81, Monthly Normals of Temperature, Precipitation, and Heating and Cooling Degree Days, 1971-2000, Page 37.</t>
        </r>
      </text>
    </comment>
    <comment ref="B15" authorId="0">
      <text>
        <r>
          <rPr>
            <sz val="8"/>
            <rFont val="Tahoma"/>
            <family val="2"/>
          </rPr>
          <t>Station No.:  445
Station Name:  PORT ARTHUR AP BEAUMONT
Latitude:  29 57 N
Longitude:  94 01 W
Elevation:  16 ft. amsl
Source:  CLIMATOGRAPHY OF THE UNITED STATES NO. 81, Monthly Normals of Temperature, Precipitation, and Heating and Cooling Degree Days, 1971-2000, Page 38.</t>
        </r>
      </text>
    </comment>
    <comment ref="B16" authorId="0">
      <text>
        <r>
          <rPr>
            <sz val="8"/>
            <rFont val="Tahoma"/>
            <family val="2"/>
          </rPr>
          <t>Station No.:  491
Station Name:  SAN ANGELO MATHIS AP
Latitude:  31 21 N
Longitude:  100 30 W
Elevation:  1916 ft. amsl
Source:  CLIMATOGRAPHY OF THE UNITED STATES NO. 81, Monthly Normals of Temperature, Precipitation, and Heating and Cooling Degree Days, 1971-2000, Page 39.</t>
        </r>
      </text>
    </comment>
    <comment ref="B17" authorId="0">
      <text>
        <r>
          <rPr>
            <sz val="8"/>
            <rFont val="Tahoma"/>
            <family val="2"/>
          </rPr>
          <t>Station No.:  492
Station Name:  SAN ANTONIO INTL AP
Latitude:  29 32 N
Longitude:  98 28 W
Elevation:  809 ft. amsl
Source:  CLIMATOGRAPHY OF THE UNITED STATES NO. 81, Monthly Normals of Temperature, Precipitation, and Heating and Cooling Degree Days, 1971-2000, Page 39.</t>
        </r>
      </text>
    </comment>
    <comment ref="B18" authorId="0">
      <text>
        <r>
          <rPr>
            <sz val="8"/>
            <rFont val="Tahoma"/>
            <family val="2"/>
          </rPr>
          <t>Station No.:  568
Station Name:  VICTORIA RGNL AP
Latitude:  28 52 N
Longitude:  96 56 W
Elevation:  115 ft. amsl
Source:  CLIMATOGRAPHY OF THE UNITED STATES NO. 81, Monthly Normals of Temperature, Precipitation, and Heating and Cooling Degree Days, 1971-2000, Page 40.</t>
        </r>
      </text>
    </comment>
    <comment ref="B19" authorId="0">
      <text>
        <r>
          <rPr>
            <sz val="8"/>
            <rFont val="Tahoma"/>
            <family val="2"/>
          </rPr>
          <t>Station No.:  571
Station Name:  WACO RGNL AP
Latitude:  31 37 N
Longitude:  97 14 W
Elevation:  500 ft. amsl
Source:  CLIMATOGRAPHY OF THE UNITED STATES NO. 81, Monthly Normals of Temperature, Precipitation, and Heating and Cooling Degree Days, 1971-2000, Page 40.</t>
        </r>
      </text>
    </comment>
    <comment ref="B20" authorId="0">
      <text>
        <r>
          <rPr>
            <sz val="8"/>
            <rFont val="Tahoma"/>
            <family val="2"/>
          </rPr>
          <t>Station No.:  588
Station Name:  WICHITA FALLS SHEPPRD AP
Latitude:  33 59 N
Longitude:  98 30 W
Elevation:  1030 ft. amsl
Source:  CLIMATOGRAPHY OF THE UNITED STATES NO. 81, Monthly Normals of Temperature, Precipitation, and Heating and Cooling Degree Days, 1971-2000, Page 40.</t>
        </r>
      </text>
    </comment>
  </commentList>
</comments>
</file>

<file path=xl/sharedStrings.xml><?xml version="1.0" encoding="utf-8"?>
<sst xmlns="http://schemas.openxmlformats.org/spreadsheetml/2006/main" count="187" uniqueCount="138">
  <si>
    <t>Month</t>
  </si>
  <si>
    <t>January</t>
  </si>
  <si>
    <t>February</t>
  </si>
  <si>
    <t>March</t>
  </si>
  <si>
    <t>April</t>
  </si>
  <si>
    <t>May</t>
  </si>
  <si>
    <t>June</t>
  </si>
  <si>
    <t>July</t>
  </si>
  <si>
    <t>August</t>
  </si>
  <si>
    <t>September</t>
  </si>
  <si>
    <t>October</t>
  </si>
  <si>
    <t>November</t>
  </si>
  <si>
    <t>December</t>
  </si>
  <si>
    <t>Annual</t>
  </si>
  <si>
    <t>Average monthly rainfall (gal. per sq.ft.)</t>
  </si>
  <si>
    <t>SUPPLY</t>
  </si>
  <si>
    <t>DEMAND</t>
  </si>
  <si>
    <t>Average plant water needs (in.)</t>
  </si>
  <si>
    <t>Average plant water needs (gal. per sq.ft.)</t>
  </si>
  <si>
    <t>Monthly outdoor demand (gal.)</t>
  </si>
  <si>
    <t>Monthly indoor demand (gal.)</t>
  </si>
  <si>
    <t>Total monthly demand (gal.)</t>
  </si>
  <si>
    <t>City</t>
  </si>
  <si>
    <t>Jan</t>
  </si>
  <si>
    <t>Feb</t>
  </si>
  <si>
    <t>Mar</t>
  </si>
  <si>
    <t>Apr</t>
  </si>
  <si>
    <t>Jun</t>
  </si>
  <si>
    <t>Jul</t>
  </si>
  <si>
    <t>Aug</t>
  </si>
  <si>
    <t>Sep</t>
  </si>
  <si>
    <t>Oct</t>
  </si>
  <si>
    <t>Nov</t>
  </si>
  <si>
    <t>Dec</t>
  </si>
  <si>
    <t>Total</t>
  </si>
  <si>
    <t>Abilene</t>
  </si>
  <si>
    <t>Amarillo</t>
  </si>
  <si>
    <t>Austin</t>
  </si>
  <si>
    <t>Brownsville</t>
  </si>
  <si>
    <t>College Station</t>
  </si>
  <si>
    <t>Corpus Christi</t>
  </si>
  <si>
    <t>Dallas/Ft. Worth</t>
  </si>
  <si>
    <t>Del Rio</t>
  </si>
  <si>
    <t>El Paso</t>
  </si>
  <si>
    <t>Galveston</t>
  </si>
  <si>
    <t>Houston</t>
  </si>
  <si>
    <t>Lubbock</t>
  </si>
  <si>
    <t>Midland</t>
  </si>
  <si>
    <t>Port Arthur</t>
  </si>
  <si>
    <t>San Angelo</t>
  </si>
  <si>
    <t>San Antonio</t>
  </si>
  <si>
    <t>Victoria</t>
  </si>
  <si>
    <t>Waco</t>
  </si>
  <si>
    <t>Wichita Falls</t>
  </si>
  <si>
    <t>Sept</t>
  </si>
  <si>
    <t>Dallas/Fort Worth</t>
  </si>
  <si>
    <t>Evapotranspiration (inches)</t>
  </si>
  <si>
    <t>Num</t>
  </si>
  <si>
    <t>Precipitation (inches)</t>
  </si>
  <si>
    <t>Potential volume of water from collection area (gal.)</t>
  </si>
  <si>
    <t>Average monthly rainfall (in.)</t>
  </si>
  <si>
    <t>No</t>
  </si>
  <si>
    <t>Substrate</t>
  </si>
  <si>
    <t>Coeff</t>
  </si>
  <si>
    <t>Plant Water Use Coefficient (unitless)</t>
  </si>
  <si>
    <t>Low</t>
  </si>
  <si>
    <t>Medium</t>
  </si>
  <si>
    <t>High</t>
  </si>
  <si>
    <t>(7/23/2010)</t>
  </si>
  <si>
    <t>http://texaset.tamu.edu/pet.php</t>
  </si>
  <si>
    <t>http://cdo.ncdc.noaa.gov/climatenormals/clim81/TXnorm.pdf</t>
  </si>
  <si>
    <t>1971-2000 (rel. 02/2002)</t>
  </si>
  <si>
    <t>Enter values in the gray-colored cells below corresponding to the question in the box immediately to the right of each cell:</t>
  </si>
  <si>
    <t>Rainwater Harvesting System Sizing Calculator</t>
  </si>
  <si>
    <t>Average monthly evapotrans- piration (in.)</t>
  </si>
  <si>
    <t>Comment</t>
  </si>
  <si>
    <t>INPUTS:</t>
  </si>
  <si>
    <t>RESULTS:</t>
  </si>
  <si>
    <t xml:space="preserve">Data is from: </t>
  </si>
  <si>
    <r>
      <t xml:space="preserve">Length of </t>
    </r>
    <r>
      <rPr>
        <sz val="10"/>
        <color indexed="17"/>
        <rFont val="Tahoma"/>
        <family val="2"/>
      </rPr>
      <t>8"</t>
    </r>
    <r>
      <rPr>
        <sz val="10"/>
        <color indexed="8"/>
        <rFont val="Tahoma"/>
        <family val="2"/>
      </rPr>
      <t xml:space="preserve"> diameter pipe needed to hold that volume (feet) =</t>
    </r>
  </si>
  <si>
    <r>
      <t xml:space="preserve">Length of </t>
    </r>
    <r>
      <rPr>
        <sz val="10"/>
        <color indexed="48"/>
        <rFont val="Tahoma"/>
        <family val="2"/>
      </rPr>
      <t>6"</t>
    </r>
    <r>
      <rPr>
        <sz val="10"/>
        <color indexed="8"/>
        <rFont val="Tahoma"/>
        <family val="2"/>
      </rPr>
      <t xml:space="preserve"> diameter pipe needed to hold that volume (feet) =</t>
    </r>
  </si>
  <si>
    <r>
      <t xml:space="preserve">Length of </t>
    </r>
    <r>
      <rPr>
        <sz val="10"/>
        <color indexed="10"/>
        <rFont val="Tahoma"/>
        <family val="2"/>
      </rPr>
      <t>4"</t>
    </r>
    <r>
      <rPr>
        <sz val="10"/>
        <color indexed="8"/>
        <rFont val="Tahoma"/>
        <family val="2"/>
      </rPr>
      <t xml:space="preserve"> diameter pipe needed to hold that volume (feet) =</t>
    </r>
  </si>
  <si>
    <t>Source</t>
  </si>
  <si>
    <t>Runoff Coefficient Estimates (unitless), assuming a properly installed and maintained gutter system</t>
  </si>
  <si>
    <t>Clay tile</t>
  </si>
  <si>
    <t>Cement tile</t>
  </si>
  <si>
    <t>Green roof</t>
  </si>
  <si>
    <t>Average of all 4 green roof types from:  http://tah2.org/think/math/water-runoff</t>
  </si>
  <si>
    <t>Tar and Gravel</t>
  </si>
  <si>
    <t>Level</t>
  </si>
  <si>
    <t>First-Flush Diversion:</t>
  </si>
  <si>
    <t>ADDITIONAL RESOURCES:</t>
  </si>
  <si>
    <t>Disclaimer:  The information in this file is provided as a public service, and should be used for estimation purposes only.  The average monthly precipitation values used in the calculations are an historical snapshot of the most recent 30-year period of available data.  It does not a guarantee that this amount of precipitation will occur in any given month for the stated location.</t>
  </si>
  <si>
    <t>www.twdb.state.tx.us/publications/reports/RainwaterHarvestingManual_3rdedition.pdf</t>
  </si>
  <si>
    <t>Based on your inputs above, the following preliminary determinations have been made:</t>
  </si>
  <si>
    <t>Enter the length of the collection area (feet).</t>
  </si>
  <si>
    <t>Enter the width of the collection area (feet).</t>
  </si>
  <si>
    <t>Enter the capacity of the storage tank (gallons).</t>
  </si>
  <si>
    <t>Enter the length of the irrigation area (feet).</t>
  </si>
  <si>
    <t>Enter the width of the irrigation area (feet).</t>
  </si>
  <si>
    <t>Do you plan to irrigate during the months of November through February?  Enter 1 for "Yes" or 2 for "No."</t>
  </si>
  <si>
    <t>If you have a rain gauge located at your collection site, enter the amount of precipitation received (inches).</t>
  </si>
  <si>
    <t>Refer to "The Texas Manual on Rainwater Harvesting, Third Edition" for additional information on first-flush diversion.  The document can be downloaded from the TWDB website at:</t>
  </si>
  <si>
    <t>EPDM rubber membrane</t>
  </si>
  <si>
    <t>www.epdmroofs.org/faqs/faq_design.shtml#22</t>
  </si>
  <si>
    <t>www.ose.state.nm.us/water-info/conservation/pdf-manuals/Roof-Reliant-Landscaping/RRL-Chapter-7.pdf</t>
  </si>
  <si>
    <t>www.rainwaterconference.org/uploads/media/Rainwater_Harvesting_-_an_overview_.pdf</t>
  </si>
  <si>
    <t>Asphalt shingle</t>
  </si>
  <si>
    <t>STORAGE</t>
  </si>
  <si>
    <t>Estimated volume of rainwater used for month (gal.)</t>
  </si>
  <si>
    <t xml:space="preserve">Annual </t>
  </si>
  <si>
    <t>How much money am I potentially saving by using rainwater instead of municipal water?</t>
  </si>
  <si>
    <t>Very Low</t>
  </si>
  <si>
    <t>Very High</t>
  </si>
  <si>
    <t>A Guide to Estimating Irrigation Water Needs of Landscape Plantings in California - The Landscape Coefficient Method and WUCOLS III, August 2000</t>
  </si>
  <si>
    <t>Sources:</t>
  </si>
  <si>
    <t>Crop evapotranspiration - Guidelines for computing crop water requirements - FAO Irrigation and drainage paper 56, 1998</t>
  </si>
  <si>
    <r>
      <t xml:space="preserve">If you have a </t>
    </r>
    <r>
      <rPr>
        <b/>
        <sz val="10"/>
        <color indexed="8"/>
        <rFont val="Tahoma"/>
        <family val="2"/>
      </rPr>
      <t>complex</t>
    </r>
    <r>
      <rPr>
        <sz val="10"/>
        <color indexed="8"/>
        <rFont val="Tahoma"/>
        <family val="2"/>
      </rPr>
      <t xml:space="preserve"> collection area, you may calculate the total area yourself and enter it here (square feet).   Otherwise, leave this cell blank.</t>
    </r>
  </si>
  <si>
    <r>
      <t xml:space="preserve">If you have a </t>
    </r>
    <r>
      <rPr>
        <b/>
        <sz val="10"/>
        <color indexed="8"/>
        <rFont val="Tahoma"/>
        <family val="2"/>
      </rPr>
      <t>complex</t>
    </r>
    <r>
      <rPr>
        <sz val="10"/>
        <color indexed="8"/>
        <rFont val="Tahoma"/>
        <family val="2"/>
      </rPr>
      <t xml:space="preserve"> irrigation area consisting of multiple plots, you may calculate the total area yourself and enter it here (square feet).   Otherwise, leave this cell blank.</t>
    </r>
  </si>
  <si>
    <t>Recommended volume of water to divert per storm event (gallons) =</t>
  </si>
  <si>
    <t>A Watering Guide for Texas Landscape - Texas Water Development Board and Texas AgriLife, 2010</t>
  </si>
  <si>
    <t>Native and Adapted Landscape Plants, an earthwise guide for Central Texas - City of Austin and Texas AgriLife, 2009</t>
  </si>
  <si>
    <t>Version 2.0</t>
  </si>
  <si>
    <r>
      <t xml:space="preserve">Enter the </t>
    </r>
    <r>
      <rPr>
        <b/>
        <sz val="10"/>
        <color indexed="8"/>
        <rFont val="Tahoma"/>
        <family val="2"/>
      </rPr>
      <t>number</t>
    </r>
    <r>
      <rPr>
        <sz val="10"/>
        <color indexed="8"/>
        <rFont val="Tahoma"/>
        <family val="2"/>
      </rPr>
      <t xml:space="preserve"> from the following list that best represents the type of plants grown in the irrigated area and the average water use:
1] </t>
    </r>
    <r>
      <rPr>
        <u val="single"/>
        <sz val="10"/>
        <color indexed="8"/>
        <rFont val="Tahoma"/>
        <family val="2"/>
      </rPr>
      <t>Very</t>
    </r>
    <r>
      <rPr>
        <sz val="10"/>
        <color indexed="8"/>
        <rFont val="Tahoma"/>
        <family val="2"/>
      </rPr>
      <t xml:space="preserve"> </t>
    </r>
    <r>
      <rPr>
        <u val="single"/>
        <sz val="10"/>
        <color indexed="8"/>
        <rFont val="Tahoma"/>
        <family val="2"/>
      </rPr>
      <t>Low</t>
    </r>
    <r>
      <rPr>
        <sz val="10"/>
        <color indexed="8"/>
        <rFont val="Tahoma"/>
        <family val="2"/>
      </rPr>
      <t xml:space="preserve"> - (e.g.  Agave, Yucca, Palo Verde, Cactus, Desert Willow, Bulbine, Gayfeather, Texas Mountain Laurel, Agarita, Flame Acanthus, Blackfoot Daisy);
2] </t>
    </r>
    <r>
      <rPr>
        <u val="single"/>
        <sz val="10"/>
        <color indexed="8"/>
        <rFont val="Tahoma"/>
        <family val="2"/>
      </rPr>
      <t>Low</t>
    </r>
    <r>
      <rPr>
        <sz val="10"/>
        <color indexed="8"/>
        <rFont val="Tahoma"/>
        <family val="2"/>
      </rPr>
      <t xml:space="preserve"> - (e.g.  Mesquite, Lantana, Buckeye, Rosemary, Western Redbud, most Oaks, Cypress, Sages, Acacia, Gaura, Lavender, Mexican Feathergrass, Muhly grass, </t>
    </r>
    <r>
      <rPr>
        <sz val="10"/>
        <color indexed="17"/>
        <rFont val="Tahoma"/>
        <family val="2"/>
      </rPr>
      <t>Buffalo grass</t>
    </r>
    <r>
      <rPr>
        <sz val="10"/>
        <color indexed="8"/>
        <rFont val="Tahoma"/>
        <family val="2"/>
      </rPr>
      <t xml:space="preserve">);
3] </t>
    </r>
    <r>
      <rPr>
        <u val="single"/>
        <sz val="10"/>
        <color indexed="8"/>
        <rFont val="Tahoma"/>
        <family val="2"/>
      </rPr>
      <t>Medium</t>
    </r>
    <r>
      <rPr>
        <sz val="10"/>
        <color indexed="8"/>
        <rFont val="Tahoma"/>
        <family val="2"/>
      </rPr>
      <t xml:space="preserve"> - (e.g.  Crape/Wax Myrtle, Roses, most wildflowers, most fruit and nut trees, Hollies, Jasmine, </t>
    </r>
    <r>
      <rPr>
        <sz val="10"/>
        <color indexed="17"/>
        <rFont val="Tahoma"/>
        <family val="2"/>
      </rPr>
      <t>Bermuda grass, Centipede grass, Papsalum grass, St. Augustine grass, Zoysia grass</t>
    </r>
    <r>
      <rPr>
        <sz val="10"/>
        <color indexed="8"/>
        <rFont val="Tahoma"/>
        <family val="2"/>
      </rPr>
      <t xml:space="preserve">);
4] </t>
    </r>
    <r>
      <rPr>
        <u val="single"/>
        <sz val="10"/>
        <color indexed="8"/>
        <rFont val="Tahoma"/>
        <family val="2"/>
      </rPr>
      <t>High</t>
    </r>
    <r>
      <rPr>
        <sz val="10"/>
        <color indexed="8"/>
        <rFont val="Tahoma"/>
        <family val="2"/>
      </rPr>
      <t xml:space="preserve"> - (e.g.  Birch, Maple, Dogwood, Cottonwood, Poplar, Azalea, Rhododendron, Ferns, Hydrangea, </t>
    </r>
    <r>
      <rPr>
        <sz val="10"/>
        <color indexed="17"/>
        <rFont val="Tahoma"/>
        <family val="2"/>
      </rPr>
      <t>Fescue grass, Rye grass</t>
    </r>
    <r>
      <rPr>
        <sz val="10"/>
        <color indexed="8"/>
        <rFont val="Tahoma"/>
        <family val="2"/>
      </rPr>
      <t xml:space="preserve">); or
5] </t>
    </r>
    <r>
      <rPr>
        <u val="single"/>
        <sz val="10"/>
        <color indexed="8"/>
        <rFont val="Tahoma"/>
        <family val="2"/>
      </rPr>
      <t>Very</t>
    </r>
    <r>
      <rPr>
        <sz val="10"/>
        <color indexed="8"/>
        <rFont val="Tahoma"/>
        <family val="2"/>
      </rPr>
      <t xml:space="preserve"> </t>
    </r>
    <r>
      <rPr>
        <u val="single"/>
        <sz val="10"/>
        <color indexed="8"/>
        <rFont val="Tahoma"/>
        <family val="2"/>
      </rPr>
      <t>High</t>
    </r>
    <r>
      <rPr>
        <sz val="10"/>
        <color indexed="8"/>
        <rFont val="Tahoma"/>
        <family val="2"/>
      </rPr>
      <t xml:space="preserve"> - (e.g.  most garden vegetables).</t>
    </r>
  </si>
  <si>
    <r>
      <t xml:space="preserve">What is the first full month the system will be put into service?   Enter the </t>
    </r>
    <r>
      <rPr>
        <b/>
        <sz val="10"/>
        <color indexed="8"/>
        <rFont val="Tahoma"/>
        <family val="2"/>
      </rPr>
      <t>number</t>
    </r>
    <r>
      <rPr>
        <sz val="10"/>
        <color indexed="8"/>
        <rFont val="Tahoma"/>
        <family val="2"/>
      </rPr>
      <t xml:space="preserve"> from 1-12 that corresponds to the correct calendar month.</t>
    </r>
  </si>
  <si>
    <t>First-Flush Diversion is a technique used in rainwater harvesting to minimize the amount of contaminants entering the collection tank.  The “first-flush” of water coming off a collection area during a storm event may contain debris (e.g. leaves, bird droppings, dust, etc.) that was deposited since the last storm.  We recommend diverting the first 1 to 2 gallons of rainwater per 100 square feet of collection area.
Enter a value closer to 1 if the impact to the collection area from contaminants is low.   Enter a value closer to 2 if the impact to the collection area from contaminants is high.</t>
  </si>
  <si>
    <r>
      <t xml:space="preserve">If you are using rainwater to offset your municipal water needs, enter the service rate you pay per 1,000 gallons of metered municipal </t>
    </r>
    <r>
      <rPr>
        <b/>
        <sz val="10"/>
        <color indexed="8"/>
        <rFont val="Tahoma"/>
        <family val="2"/>
      </rPr>
      <t>water</t>
    </r>
    <r>
      <rPr>
        <sz val="10"/>
        <color indexed="8"/>
        <rFont val="Tahoma"/>
        <family val="2"/>
      </rPr>
      <t xml:space="preserve"> ($/1,000 gallons).     [The '$' is added automatically to the input cell]
[For additional information on rate tiers, place the mouse cursor on this question]</t>
    </r>
  </si>
  <si>
    <t>Enter the volume, if any, of estimated monthly INDOOR water demand (gallons).     [Typical indoor water usage for a single-family residence is about 2,100 gallons per person per month]</t>
  </si>
  <si>
    <t>Estimated volume of water left in tank (or deficit) at end of month (gal.)</t>
  </si>
  <si>
    <t>Potential volume of water from rainfall directly on irrigated area (gal.)</t>
  </si>
  <si>
    <t>**The first-flush volume is NOT incorporated into the "Storage" calculations above.</t>
  </si>
  <si>
    <t>Does your water utility perform "Wastewater Averaging" during the winter months?  Enter 1 for "Yes" or 2 for "No."     [For additional information on "Wastewater Averaging," place the mouse cursor on this question]</t>
  </si>
  <si>
    <t>How much rainwater did that last storm potentially add to my collection tank?</t>
  </si>
  <si>
    <t>Estimated monthly supply to collection tank (gal.)</t>
  </si>
  <si>
    <r>
      <t xml:space="preserve">Do you plan to add any supplementary water to your storage tank prior to putting the system into service?  If so, enter that volume (gallons).
</t>
    </r>
    <r>
      <rPr>
        <i/>
        <sz val="10"/>
        <color indexed="8"/>
        <rFont val="Tahoma"/>
        <family val="2"/>
      </rPr>
      <t>NOTE:  This input field would most likely be used when the system will be utilized for year-round irrigation or to meet indoor water needs, and it needs a jump-start prior to placing a demand on it the first month.  This input field can also be used to run a simulation for multiple years.  In order to do this, print the simulation after completing your inputs for the first year.  If the volume left in storage for the final month (Cell_O45) is greater than zero, enter that value.  If the final storage value is less than zero, enter zero.  It is possible that the simulation will not change from one year to the next.</t>
    </r>
  </si>
  <si>
    <r>
      <t xml:space="preserve">Enter the </t>
    </r>
    <r>
      <rPr>
        <b/>
        <sz val="10"/>
        <color indexed="8"/>
        <rFont val="Tahoma"/>
        <family val="2"/>
      </rPr>
      <t>number</t>
    </r>
    <r>
      <rPr>
        <sz val="10"/>
        <color indexed="8"/>
        <rFont val="Tahoma"/>
        <family val="2"/>
      </rPr>
      <t xml:space="preserve"> from the following list that corresponds to the city that is closest to your rainwater collection site:   1] Abilene,  2] Amarillo,  3] Austin,  4] Brownsville,  5] College Station,
6] Corpus Christi,  7] Dallas/Fort Worth,  8] Del Rio,  9] El Paso,  10] Galveston,  11] Houston,  12] Lubbock,  13] Midland,  14] Port Arthur,  15] San Angelo,  16] San Antonio,
17] Victoria,  18] Waco,  19] Wichita Falls.</t>
    </r>
  </si>
  <si>
    <t>Metal or glass</t>
  </si>
  <si>
    <r>
      <t xml:space="preserve">Enter the </t>
    </r>
    <r>
      <rPr>
        <b/>
        <sz val="10"/>
        <color indexed="8"/>
        <rFont val="Tahoma"/>
        <family val="2"/>
      </rPr>
      <t>number</t>
    </r>
    <r>
      <rPr>
        <sz val="10"/>
        <color indexed="8"/>
        <rFont val="Tahoma"/>
        <family val="2"/>
      </rPr>
      <t xml:space="preserve"> from the following list that corresponds to the primary type of material used for the surface of the rainwater collection area:
1] Metal or glass;  2] EPDM rubber membrane;  3] Asphalt shingle;  4] Tar and gravel;  5] Cement tile;  6] Clay tile;  7] Green/living roof.</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</si>
</sst>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Red]\-#,##0_)"/>
    <numFmt numFmtId="166" formatCode="&quot;$&quot;#,##0.00"/>
  </numFmts>
  <fonts count="72">
    <font>
      <sz val="11"/>
      <color theme="1"/>
      <name val="Calibri"/>
      <family val="2"/>
    </font>
    <font>
      <sz val="11"/>
      <color indexed="8"/>
      <name val="Calibri"/>
      <family val="2"/>
    </font>
    <font>
      <b/>
      <sz val="11"/>
      <color indexed="8"/>
      <name val="Calibri"/>
      <family val="2"/>
    </font>
    <font>
      <sz val="8"/>
      <name val="Tahoma"/>
      <family val="2"/>
    </font>
    <font>
      <sz val="9"/>
      <name val="Tahoma"/>
      <family val="2"/>
    </font>
    <font>
      <sz val="10"/>
      <name val="Arial"/>
      <family val="2"/>
    </font>
    <font>
      <b/>
      <sz val="10"/>
      <color indexed="8"/>
      <name val="Tahoma"/>
      <family val="2"/>
    </font>
    <font>
      <b/>
      <i/>
      <sz val="10"/>
      <color indexed="8"/>
      <name val="Tahoma"/>
      <family val="2"/>
    </font>
    <font>
      <sz val="10"/>
      <color indexed="8"/>
      <name val="Tahoma"/>
      <family val="2"/>
    </font>
    <font>
      <sz val="10"/>
      <color indexed="8"/>
      <name val="Calibri"/>
      <family val="2"/>
    </font>
    <font>
      <i/>
      <sz val="10"/>
      <color indexed="8"/>
      <name val="Tahoma"/>
      <family val="2"/>
    </font>
    <font>
      <u val="single"/>
      <sz val="11"/>
      <color indexed="12"/>
      <name val="Calibri"/>
      <family val="2"/>
    </font>
    <font>
      <b/>
      <sz val="10"/>
      <color indexed="48"/>
      <name val="Tahoma"/>
      <family val="2"/>
    </font>
    <font>
      <sz val="10"/>
      <color indexed="16"/>
      <name val="Tahoma"/>
      <family val="2"/>
    </font>
    <font>
      <sz val="10"/>
      <color indexed="10"/>
      <name val="Tahoma"/>
      <family val="2"/>
    </font>
    <font>
      <sz val="10"/>
      <color indexed="48"/>
      <name val="Tahoma"/>
      <family val="2"/>
    </font>
    <font>
      <sz val="10"/>
      <color indexed="17"/>
      <name val="Tahoma"/>
      <family val="2"/>
    </font>
    <font>
      <b/>
      <u val="single"/>
      <sz val="12"/>
      <color indexed="8"/>
      <name val="Tahoma"/>
      <family val="2"/>
    </font>
    <font>
      <u val="single"/>
      <sz val="10"/>
      <color indexed="12"/>
      <name val="Tahoma"/>
      <family val="2"/>
    </font>
    <font>
      <b/>
      <sz val="12"/>
      <color indexed="8"/>
      <name val="Tahoma"/>
      <family val="2"/>
    </font>
    <font>
      <b/>
      <u val="single"/>
      <sz val="14"/>
      <color indexed="8"/>
      <name val="Tahoma"/>
      <family val="2"/>
    </font>
    <font>
      <i/>
      <sz val="11"/>
      <color indexed="8"/>
      <name val="Times New Roman"/>
      <family val="1"/>
    </font>
    <font>
      <b/>
      <sz val="9"/>
      <name val="Tahoma"/>
      <family val="2"/>
    </font>
    <font>
      <u val="single"/>
      <sz val="10"/>
      <color indexed="8"/>
      <name val="Tahoma"/>
      <family val="2"/>
    </font>
    <font>
      <b/>
      <u val="single"/>
      <sz val="9"/>
      <color indexed="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b/>
      <sz val="10"/>
      <color theme="1"/>
      <name val="Tahoma"/>
      <family val="2"/>
    </font>
    <font>
      <b/>
      <i/>
      <sz val="10"/>
      <color theme="1"/>
      <name val="Tahoma"/>
      <family val="2"/>
    </font>
    <font>
      <sz val="10"/>
      <color theme="1"/>
      <name val="Calibri"/>
      <family val="2"/>
    </font>
    <font>
      <i/>
      <sz val="10"/>
      <color theme="1"/>
      <name val="Tahoma"/>
      <family val="2"/>
    </font>
    <font>
      <b/>
      <sz val="10"/>
      <color rgb="FF3333FF"/>
      <name val="Tahoma"/>
      <family val="2"/>
    </font>
    <font>
      <b/>
      <u val="single"/>
      <sz val="12"/>
      <color theme="1"/>
      <name val="Tahoma"/>
      <family val="2"/>
    </font>
    <font>
      <sz val="10"/>
      <color theme="5" tint="-0.4999699890613556"/>
      <name val="Tahoma"/>
      <family val="2"/>
    </font>
    <font>
      <b/>
      <sz val="12"/>
      <color theme="1"/>
      <name val="Tahoma"/>
      <family val="2"/>
    </font>
    <font>
      <b/>
      <u val="single"/>
      <sz val="14"/>
      <color theme="1"/>
      <name val="Tahoma"/>
      <family val="2"/>
    </font>
    <font>
      <sz val="10"/>
      <color rgb="FF3333FF"/>
      <name val="Tahoma"/>
      <family val="2"/>
    </font>
    <font>
      <sz val="10"/>
      <color rgb="FFFF0000"/>
      <name val="Tahoma"/>
      <family val="2"/>
    </font>
    <font>
      <i/>
      <sz val="11"/>
      <color theme="1"/>
      <name val="Times New Roman"/>
      <family val="1"/>
    </font>
    <font>
      <u val="single"/>
      <sz val="10"/>
      <color theme="10"/>
      <name val="Tahoma"/>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bottom/>
    </border>
    <border>
      <left style="thin"/>
      <right/>
      <top/>
      <bottom/>
    </border>
    <border>
      <left style="thin"/>
      <right/>
      <top/>
      <bottom style="thin"/>
    </border>
    <border>
      <left/>
      <right/>
      <top/>
      <bottom style="thin"/>
    </border>
    <border>
      <left style="thin"/>
      <right/>
      <top style="thin"/>
      <bottom/>
    </border>
    <border>
      <left/>
      <right style="thin"/>
      <top style="thin"/>
      <bottom/>
    </border>
    <border>
      <left/>
      <right style="thin"/>
      <top/>
      <bottom style="thin"/>
    </border>
    <border>
      <left/>
      <right/>
      <top style="thin"/>
      <bottom style="thin"/>
    </border>
    <border>
      <left/>
      <right style="thin"/>
      <top style="thin"/>
      <bottom style="thin"/>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0">
    <xf numFmtId="0" fontId="0" fillId="0" borderId="0" xfId="0" applyFont="1" applyAlignment="1">
      <alignment/>
    </xf>
    <xf numFmtId="0" fontId="0" fillId="0" borderId="0" xfId="0" applyAlignment="1">
      <alignment horizontal="right"/>
    </xf>
    <xf numFmtId="0" fontId="0" fillId="0" borderId="0" xfId="0" applyAlignment="1">
      <alignment horizontal="center"/>
    </xf>
    <xf numFmtId="2" fontId="0" fillId="0" borderId="0" xfId="0" applyNumberFormat="1" applyAlignment="1">
      <alignment/>
    </xf>
    <xf numFmtId="0" fontId="0" fillId="0" borderId="0" xfId="0" applyFill="1" applyAlignment="1">
      <alignment/>
    </xf>
    <xf numFmtId="0" fontId="55" fillId="11" borderId="0" xfId="0" applyFont="1" applyFill="1" applyAlignment="1">
      <alignment/>
    </xf>
    <xf numFmtId="2" fontId="57" fillId="0" borderId="0" xfId="0" applyNumberFormat="1" applyFont="1" applyFill="1" applyBorder="1" applyAlignment="1">
      <alignment horizontal="center" wrapText="1"/>
    </xf>
    <xf numFmtId="0" fontId="57" fillId="0" borderId="0" xfId="0" applyFont="1" applyAlignment="1">
      <alignment horizontal="center"/>
    </xf>
    <xf numFmtId="0" fontId="58" fillId="33" borderId="0" xfId="0" applyFont="1" applyFill="1" applyAlignment="1">
      <alignment/>
    </xf>
    <xf numFmtId="0" fontId="58" fillId="34" borderId="0" xfId="0" applyFont="1" applyFill="1" applyAlignment="1">
      <alignment horizontal="center"/>
    </xf>
    <xf numFmtId="0" fontId="59" fillId="34" borderId="0" xfId="0" applyFont="1" applyFill="1" applyAlignment="1">
      <alignment horizontal="center"/>
    </xf>
    <xf numFmtId="0" fontId="58" fillId="33" borderId="0" xfId="0" applyFont="1" applyFill="1" applyBorder="1" applyAlignment="1">
      <alignment horizontal="left" wrapText="1"/>
    </xf>
    <xf numFmtId="0" fontId="58" fillId="9" borderId="0" xfId="0" applyFont="1" applyFill="1" applyBorder="1" applyAlignment="1">
      <alignment horizontal="center" wrapText="1"/>
    </xf>
    <xf numFmtId="0" fontId="59" fillId="9" borderId="0" xfId="0" applyFont="1" applyFill="1" applyBorder="1" applyAlignment="1">
      <alignment horizontal="center" wrapText="1"/>
    </xf>
    <xf numFmtId="0" fontId="60" fillId="0" borderId="0" xfId="0" applyFont="1" applyAlignment="1">
      <alignment/>
    </xf>
    <xf numFmtId="0" fontId="57" fillId="33" borderId="0" xfId="0" applyFont="1" applyFill="1" applyAlignment="1">
      <alignment/>
    </xf>
    <xf numFmtId="2" fontId="57" fillId="0" borderId="0" xfId="0" applyNumberFormat="1" applyFont="1" applyAlignment="1">
      <alignment horizontal="center"/>
    </xf>
    <xf numFmtId="2" fontId="61" fillId="0" borderId="0" xfId="0" applyNumberFormat="1" applyFont="1" applyAlignment="1">
      <alignment horizontal="center"/>
    </xf>
    <xf numFmtId="0" fontId="57" fillId="33" borderId="0" xfId="0" applyFont="1" applyFill="1" applyBorder="1" applyAlignment="1">
      <alignment horizontal="left" wrapText="1"/>
    </xf>
    <xf numFmtId="2" fontId="61" fillId="0" borderId="0" xfId="0" applyNumberFormat="1" applyFont="1" applyFill="1" applyBorder="1" applyAlignment="1">
      <alignment horizontal="center" wrapText="1"/>
    </xf>
    <xf numFmtId="0" fontId="0" fillId="9" borderId="0" xfId="0" applyFill="1" applyAlignment="1">
      <alignment/>
    </xf>
    <xf numFmtId="0" fontId="0" fillId="9" borderId="0" xfId="0" applyFill="1" applyAlignment="1">
      <alignment horizontal="right"/>
    </xf>
    <xf numFmtId="0" fontId="0" fillId="34" borderId="0" xfId="0" applyFill="1" applyAlignment="1">
      <alignment/>
    </xf>
    <xf numFmtId="0" fontId="0" fillId="34" borderId="0" xfId="0" applyFill="1" applyAlignment="1">
      <alignment horizontal="right"/>
    </xf>
    <xf numFmtId="0" fontId="58" fillId="0" borderId="0" xfId="0" applyFont="1" applyAlignment="1">
      <alignment horizontal="center"/>
    </xf>
    <xf numFmtId="0" fontId="0" fillId="13" borderId="0" xfId="0" applyFill="1" applyAlignment="1">
      <alignment horizontal="left"/>
    </xf>
    <xf numFmtId="0" fontId="0" fillId="13" borderId="0" xfId="0" applyFill="1" applyAlignment="1">
      <alignment/>
    </xf>
    <xf numFmtId="0" fontId="55" fillId="13" borderId="0" xfId="0" applyFont="1" applyFill="1" applyAlignment="1">
      <alignment horizontal="center"/>
    </xf>
    <xf numFmtId="0" fontId="55" fillId="13" borderId="0" xfId="0" applyFont="1" applyFill="1" applyAlignment="1">
      <alignment/>
    </xf>
    <xf numFmtId="0" fontId="0" fillId="0" borderId="0" xfId="0" applyFill="1" applyAlignment="1">
      <alignment horizontal="right"/>
    </xf>
    <xf numFmtId="0" fontId="55" fillId="16" borderId="0" xfId="0" applyFont="1" applyFill="1" applyAlignment="1">
      <alignment horizontal="center"/>
    </xf>
    <xf numFmtId="0" fontId="55" fillId="16" borderId="0" xfId="0" applyFont="1" applyFill="1" applyAlignment="1">
      <alignment/>
    </xf>
    <xf numFmtId="0" fontId="0" fillId="16" borderId="0" xfId="0" applyFill="1" applyAlignment="1">
      <alignment/>
    </xf>
    <xf numFmtId="0" fontId="0" fillId="16" borderId="0" xfId="0" applyFill="1" applyAlignment="1">
      <alignment horizontal="left"/>
    </xf>
    <xf numFmtId="0" fontId="55" fillId="11" borderId="0" xfId="0" applyFont="1" applyFill="1" applyAlignment="1">
      <alignment horizontal="center"/>
    </xf>
    <xf numFmtId="0" fontId="49" fillId="0" borderId="0" xfId="52" applyFill="1" applyAlignment="1" applyProtection="1">
      <alignment/>
      <protection/>
    </xf>
    <xf numFmtId="0" fontId="61" fillId="0" borderId="0" xfId="0" applyFont="1" applyAlignment="1" applyProtection="1">
      <alignment/>
      <protection/>
    </xf>
    <xf numFmtId="0" fontId="57" fillId="0" borderId="0" xfId="0" applyFont="1" applyAlignment="1">
      <alignment/>
    </xf>
    <xf numFmtId="0" fontId="57" fillId="0" borderId="0" xfId="0" applyFont="1" applyAlignment="1" applyProtection="1">
      <alignment/>
      <protection/>
    </xf>
    <xf numFmtId="0" fontId="62" fillId="35" borderId="10" xfId="0" applyFont="1" applyFill="1" applyBorder="1" applyAlignment="1" applyProtection="1">
      <alignment horizontal="center" vertical="center"/>
      <protection locked="0"/>
    </xf>
    <xf numFmtId="0" fontId="62" fillId="35" borderId="10" xfId="0" applyNumberFormat="1" applyFont="1" applyFill="1" applyBorder="1" applyAlignment="1" applyProtection="1">
      <alignment horizontal="center" vertical="center"/>
      <protection locked="0"/>
    </xf>
    <xf numFmtId="3" fontId="57" fillId="0" borderId="0" xfId="0" applyNumberFormat="1" applyFont="1" applyAlignment="1" applyProtection="1">
      <alignment horizontal="center"/>
      <protection/>
    </xf>
    <xf numFmtId="0" fontId="57" fillId="0" borderId="0" xfId="0" applyFont="1" applyAlignment="1" applyProtection="1">
      <alignment vertical="center"/>
      <protection/>
    </xf>
    <xf numFmtId="0" fontId="59" fillId="0" borderId="0" xfId="0" applyFont="1" applyAlignment="1" applyProtection="1">
      <alignment horizontal="right" vertical="center"/>
      <protection/>
    </xf>
    <xf numFmtId="0" fontId="57" fillId="0" borderId="0" xfId="0" applyFont="1" applyAlignment="1">
      <alignment vertical="center"/>
    </xf>
    <xf numFmtId="0" fontId="59" fillId="0" borderId="0" xfId="0" applyFont="1" applyAlignment="1" applyProtection="1">
      <alignment horizontal="right"/>
      <protection/>
    </xf>
    <xf numFmtId="2" fontId="59" fillId="0" borderId="0" xfId="0" applyNumberFormat="1" applyFont="1" applyAlignment="1" applyProtection="1">
      <alignment horizontal="center"/>
      <protection/>
    </xf>
    <xf numFmtId="0" fontId="57" fillId="0" borderId="0" xfId="0" applyFont="1" applyAlignment="1">
      <alignment/>
    </xf>
    <xf numFmtId="3" fontId="59" fillId="0" borderId="0" xfId="0" applyNumberFormat="1" applyFont="1" applyAlignment="1" applyProtection="1">
      <alignment horizontal="center" wrapText="1"/>
      <protection/>
    </xf>
    <xf numFmtId="0" fontId="62" fillId="36" borderId="0" xfId="0" applyFont="1" applyFill="1" applyAlignment="1" applyProtection="1">
      <alignment horizontal="left" vertical="center"/>
      <protection/>
    </xf>
    <xf numFmtId="0" fontId="57" fillId="36" borderId="0" xfId="0" applyFont="1" applyFill="1" applyAlignment="1">
      <alignment vertical="center"/>
    </xf>
    <xf numFmtId="0" fontId="57" fillId="36" borderId="0" xfId="0" applyFont="1" applyFill="1" applyAlignment="1" applyProtection="1">
      <alignment vertical="center"/>
      <protection/>
    </xf>
    <xf numFmtId="0" fontId="57" fillId="0" borderId="0" xfId="0" applyFont="1" applyFill="1" applyAlignment="1" applyProtection="1">
      <alignment horizontal="center" vertical="center"/>
      <protection/>
    </xf>
    <xf numFmtId="0" fontId="63" fillId="0" borderId="0" xfId="0" applyFont="1" applyAlignment="1" applyProtection="1">
      <alignment/>
      <protection/>
    </xf>
    <xf numFmtId="0" fontId="58" fillId="0" borderId="0" xfId="0" applyFont="1" applyAlignment="1" applyProtection="1">
      <alignment vertical="center"/>
      <protection/>
    </xf>
    <xf numFmtId="0" fontId="55" fillId="13" borderId="0" xfId="0" applyFont="1" applyFill="1" applyAlignment="1">
      <alignment horizontal="right"/>
    </xf>
    <xf numFmtId="0" fontId="49" fillId="0" borderId="0" xfId="52" applyAlignment="1" applyProtection="1">
      <alignment/>
      <protection/>
    </xf>
    <xf numFmtId="0" fontId="60" fillId="0" borderId="0" xfId="0" applyFont="1" applyAlignment="1">
      <alignment horizontal="center"/>
    </xf>
    <xf numFmtId="0" fontId="64" fillId="0" borderId="0" xfId="0" applyFont="1" applyBorder="1" applyAlignment="1" applyProtection="1">
      <alignment horizontal="left" vertical="center" wrapText="1"/>
      <protection/>
    </xf>
    <xf numFmtId="2" fontId="57" fillId="0" borderId="11" xfId="0" applyNumberFormat="1" applyFont="1" applyBorder="1" applyAlignment="1">
      <alignment horizontal="left" vertical="center" indent="1"/>
    </xf>
    <xf numFmtId="0" fontId="57" fillId="0" borderId="0" xfId="0" applyFont="1" applyAlignment="1" applyProtection="1">
      <alignment vertical="center" wrapText="1"/>
      <protection/>
    </xf>
    <xf numFmtId="0" fontId="61" fillId="0" borderId="0" xfId="0" applyFont="1" applyBorder="1" applyAlignment="1" applyProtection="1">
      <alignment horizontal="center" vertical="center"/>
      <protection/>
    </xf>
    <xf numFmtId="2" fontId="59" fillId="0" borderId="0" xfId="0" applyNumberFormat="1" applyFont="1" applyAlignment="1" applyProtection="1">
      <alignment horizontal="center" vertical="center"/>
      <protection/>
    </xf>
    <xf numFmtId="3" fontId="59" fillId="0" borderId="0" xfId="0" applyNumberFormat="1" applyFont="1" applyAlignment="1" applyProtection="1">
      <alignment horizontal="center" vertical="center" wrapText="1"/>
      <protection/>
    </xf>
    <xf numFmtId="0" fontId="57" fillId="0" borderId="0" xfId="0" applyFont="1" applyBorder="1" applyAlignment="1">
      <alignment vertical="center"/>
    </xf>
    <xf numFmtId="2" fontId="57" fillId="0" borderId="11" xfId="0" applyNumberFormat="1" applyFont="1" applyBorder="1" applyAlignment="1" applyProtection="1">
      <alignment horizontal="left" vertical="center" indent="1"/>
      <protection/>
    </xf>
    <xf numFmtId="3" fontId="61" fillId="0" borderId="0" xfId="0" applyNumberFormat="1" applyFont="1" applyAlignment="1" applyProtection="1">
      <alignment horizontal="right"/>
      <protection/>
    </xf>
    <xf numFmtId="3" fontId="61" fillId="0" borderId="0" xfId="0" applyNumberFormat="1" applyFont="1" applyAlignment="1">
      <alignment horizontal="center"/>
    </xf>
    <xf numFmtId="0" fontId="49" fillId="0" borderId="0" xfId="52" applyAlignment="1" applyProtection="1">
      <alignment/>
      <protection/>
    </xf>
    <xf numFmtId="0" fontId="57" fillId="0" borderId="12" xfId="0" applyFont="1" applyBorder="1" applyAlignment="1">
      <alignment horizontal="center" vertical="center"/>
    </xf>
    <xf numFmtId="2" fontId="57" fillId="0" borderId="0" xfId="0" applyNumberFormat="1" applyFont="1" applyBorder="1" applyAlignment="1">
      <alignment horizontal="center" vertical="center"/>
    </xf>
    <xf numFmtId="3" fontId="57" fillId="0" borderId="0" xfId="0" applyNumberFormat="1" applyFont="1" applyBorder="1" applyAlignment="1">
      <alignment horizontal="center" vertical="center"/>
    </xf>
    <xf numFmtId="0" fontId="57" fillId="0" borderId="13" xfId="0" applyFont="1" applyBorder="1" applyAlignment="1">
      <alignment horizontal="center" vertical="center"/>
    </xf>
    <xf numFmtId="2" fontId="57" fillId="0" borderId="14" xfId="0" applyNumberFormat="1" applyFont="1" applyBorder="1" applyAlignment="1">
      <alignment horizontal="center" vertical="center"/>
    </xf>
    <xf numFmtId="3" fontId="57" fillId="0" borderId="14" xfId="0" applyNumberFormat="1" applyFont="1" applyBorder="1" applyAlignment="1">
      <alignment horizontal="center" vertical="center"/>
    </xf>
    <xf numFmtId="3" fontId="57" fillId="0" borderId="11" xfId="0" applyNumberFormat="1" applyFont="1" applyBorder="1" applyAlignment="1">
      <alignment horizontal="center" vertical="center"/>
    </xf>
    <xf numFmtId="3" fontId="57" fillId="0" borderId="12" xfId="0" applyNumberFormat="1" applyFont="1" applyBorder="1" applyAlignment="1">
      <alignment horizontal="center" vertical="center"/>
    </xf>
    <xf numFmtId="3" fontId="57" fillId="0" borderId="13" xfId="0" applyNumberFormat="1" applyFont="1" applyBorder="1" applyAlignment="1">
      <alignment horizontal="center" vertical="center"/>
    </xf>
    <xf numFmtId="2" fontId="59" fillId="0" borderId="15" xfId="0" applyNumberFormat="1" applyFont="1" applyBorder="1" applyAlignment="1" applyProtection="1">
      <alignment horizontal="center" vertical="center"/>
      <protection/>
    </xf>
    <xf numFmtId="3" fontId="59" fillId="0" borderId="16" xfId="0" applyNumberFormat="1" applyFont="1" applyBorder="1" applyAlignment="1" applyProtection="1">
      <alignment horizontal="center" vertical="center" wrapText="1"/>
      <protection/>
    </xf>
    <xf numFmtId="0" fontId="57" fillId="0" borderId="17" xfId="0" applyFont="1" applyBorder="1" applyAlignment="1" applyProtection="1">
      <alignment vertical="center"/>
      <protection/>
    </xf>
    <xf numFmtId="0" fontId="58" fillId="0" borderId="14" xfId="0" applyFont="1" applyBorder="1" applyAlignment="1" applyProtection="1">
      <alignment/>
      <protection/>
    </xf>
    <xf numFmtId="0" fontId="58" fillId="0" borderId="13" xfId="0" applyFont="1" applyBorder="1" applyAlignment="1" applyProtection="1">
      <alignment horizontal="center" wrapText="1"/>
      <protection/>
    </xf>
    <xf numFmtId="0" fontId="58" fillId="0" borderId="14" xfId="0" applyFont="1" applyBorder="1" applyAlignment="1" applyProtection="1">
      <alignment horizontal="center" wrapText="1"/>
      <protection/>
    </xf>
    <xf numFmtId="0" fontId="58" fillId="0" borderId="17" xfId="0" applyFont="1" applyBorder="1" applyAlignment="1" applyProtection="1">
      <alignment horizontal="center" wrapText="1"/>
      <protection/>
    </xf>
    <xf numFmtId="0" fontId="65" fillId="0" borderId="0" xfId="0" applyFont="1" applyFill="1" applyAlignment="1" applyProtection="1">
      <alignment horizontal="left" vertical="center"/>
      <protection/>
    </xf>
    <xf numFmtId="0" fontId="66" fillId="0" borderId="0" xfId="0" applyFont="1" applyAlignment="1" applyProtection="1">
      <alignment/>
      <protection/>
    </xf>
    <xf numFmtId="0" fontId="64" fillId="0" borderId="0" xfId="0" applyFont="1" applyBorder="1" applyAlignment="1" applyProtection="1">
      <alignment horizontal="left" vertical="center" wrapText="1" indent="1"/>
      <protection/>
    </xf>
    <xf numFmtId="0" fontId="57" fillId="0" borderId="0" xfId="0" applyNumberFormat="1" applyFont="1" applyAlignment="1">
      <alignment/>
    </xf>
    <xf numFmtId="165" fontId="57" fillId="0" borderId="0" xfId="0" applyNumberFormat="1" applyFont="1" applyBorder="1" applyAlignment="1">
      <alignment horizontal="center" vertical="center"/>
    </xf>
    <xf numFmtId="165" fontId="57" fillId="0" borderId="14" xfId="0" applyNumberFormat="1" applyFont="1" applyBorder="1" applyAlignment="1">
      <alignment horizontal="center" vertical="center"/>
    </xf>
    <xf numFmtId="166" fontId="62" fillId="35" borderId="10" xfId="0" applyNumberFormat="1" applyFont="1" applyFill="1" applyBorder="1" applyAlignment="1" applyProtection="1">
      <alignment horizontal="center" vertical="center"/>
      <protection locked="0"/>
    </xf>
    <xf numFmtId="0" fontId="0" fillId="0" borderId="0" xfId="0" applyFill="1" applyAlignment="1">
      <alignment horizontal="left"/>
    </xf>
    <xf numFmtId="166" fontId="57" fillId="0" borderId="0" xfId="0" applyNumberFormat="1" applyFont="1" applyAlignment="1">
      <alignment/>
    </xf>
    <xf numFmtId="0" fontId="49" fillId="0" borderId="0" xfId="52" applyAlignment="1" applyProtection="1">
      <alignment/>
      <protection/>
    </xf>
    <xf numFmtId="0" fontId="57" fillId="0" borderId="0" xfId="0" applyFont="1" applyAlignment="1">
      <alignment horizontal="right"/>
    </xf>
    <xf numFmtId="164" fontId="57" fillId="0" borderId="0" xfId="0" applyNumberFormat="1" applyFont="1" applyAlignment="1">
      <alignment horizontal="right"/>
    </xf>
    <xf numFmtId="0" fontId="67" fillId="0" borderId="11" xfId="0" applyFont="1" applyBorder="1" applyAlignment="1">
      <alignment horizontal="center" vertical="center"/>
    </xf>
    <xf numFmtId="0" fontId="67" fillId="0" borderId="17" xfId="0" applyFont="1" applyBorder="1" applyAlignment="1">
      <alignment horizontal="center" vertical="center"/>
    </xf>
    <xf numFmtId="0" fontId="68" fillId="0" borderId="11" xfId="0" applyFont="1" applyBorder="1" applyAlignment="1">
      <alignment horizontal="center" vertical="center"/>
    </xf>
    <xf numFmtId="0" fontId="68" fillId="0" borderId="17" xfId="0" applyFont="1" applyBorder="1" applyAlignment="1">
      <alignment horizontal="center" vertical="center"/>
    </xf>
    <xf numFmtId="3" fontId="62" fillId="35" borderId="10" xfId="0" applyNumberFormat="1" applyFont="1" applyFill="1" applyBorder="1" applyAlignment="1" applyProtection="1">
      <alignment horizontal="center" vertical="center"/>
      <protection locked="0"/>
    </xf>
    <xf numFmtId="3" fontId="57" fillId="0" borderId="16" xfId="0" applyNumberFormat="1" applyFont="1" applyBorder="1" applyAlignment="1" applyProtection="1">
      <alignment horizontal="left" vertical="center" indent="1"/>
      <protection/>
    </xf>
    <xf numFmtId="3" fontId="57" fillId="0" borderId="11" xfId="0" applyNumberFormat="1" applyFont="1" applyBorder="1" applyAlignment="1" applyProtection="1">
      <alignment horizontal="left" vertical="center" indent="1"/>
      <protection/>
    </xf>
    <xf numFmtId="0" fontId="0" fillId="0" borderId="0" xfId="0" applyAlignment="1">
      <alignment horizontal="center" vertical="top"/>
    </xf>
    <xf numFmtId="0" fontId="0" fillId="0" borderId="0" xfId="0" applyAlignment="1">
      <alignment vertical="top" wrapText="1"/>
    </xf>
    <xf numFmtId="2" fontId="0" fillId="0" borderId="0" xfId="0" applyNumberFormat="1" applyAlignment="1">
      <alignment vertical="top"/>
    </xf>
    <xf numFmtId="0" fontId="0" fillId="0" borderId="0" xfId="0" applyAlignment="1">
      <alignment vertical="top"/>
    </xf>
    <xf numFmtId="0" fontId="0" fillId="0" borderId="0" xfId="0" applyAlignment="1">
      <alignment horizontal="right" vertical="top"/>
    </xf>
    <xf numFmtId="0" fontId="57" fillId="0" borderId="12" xfId="0" applyFont="1" applyBorder="1" applyAlignment="1">
      <alignment horizontal="right" vertical="center"/>
    </xf>
    <xf numFmtId="0" fontId="57" fillId="0" borderId="0" xfId="0" applyFont="1" applyBorder="1" applyAlignment="1">
      <alignment horizontal="right" vertical="center"/>
    </xf>
    <xf numFmtId="0" fontId="69" fillId="0" borderId="10" xfId="0" applyFont="1" applyBorder="1" applyAlignment="1" applyProtection="1">
      <alignment horizontal="left" vertical="center" wrapText="1" indent="1"/>
      <protection/>
    </xf>
    <xf numFmtId="0" fontId="69" fillId="0" borderId="18" xfId="0" applyFont="1" applyBorder="1" applyAlignment="1" applyProtection="1">
      <alignment horizontal="left" vertical="center" wrapText="1" indent="1"/>
      <protection/>
    </xf>
    <xf numFmtId="0" fontId="69" fillId="0" borderId="19" xfId="0" applyFont="1" applyBorder="1" applyAlignment="1" applyProtection="1">
      <alignment horizontal="left" vertical="center" wrapText="1" indent="1"/>
      <protection/>
    </xf>
    <xf numFmtId="0" fontId="70" fillId="0" borderId="20" xfId="52" applyFont="1" applyBorder="1" applyAlignment="1" applyProtection="1">
      <alignment horizontal="left" vertical="top" indent="1"/>
      <protection/>
    </xf>
    <xf numFmtId="0" fontId="70" fillId="0" borderId="21" xfId="52" applyFont="1" applyBorder="1" applyAlignment="1" applyProtection="1">
      <alignment horizontal="left" vertical="top" indent="1"/>
      <protection/>
    </xf>
    <xf numFmtId="0" fontId="70" fillId="0" borderId="22" xfId="52" applyFont="1" applyBorder="1" applyAlignment="1" applyProtection="1">
      <alignment horizontal="left" vertical="top" indent="1"/>
      <protection/>
    </xf>
    <xf numFmtId="0" fontId="57" fillId="0" borderId="18" xfId="0" applyFont="1" applyBorder="1" applyAlignment="1" applyProtection="1">
      <alignment horizontal="left" vertical="center" indent="1"/>
      <protection/>
    </xf>
    <xf numFmtId="0" fontId="57" fillId="0" borderId="19" xfId="0" applyFont="1" applyBorder="1" applyAlignment="1" applyProtection="1">
      <alignment horizontal="left" vertical="center" indent="1"/>
      <protection/>
    </xf>
    <xf numFmtId="0" fontId="64" fillId="0" borderId="10" xfId="0" applyFont="1" applyBorder="1" applyAlignment="1" applyProtection="1">
      <alignment horizontal="left" vertical="center" wrapText="1" indent="1"/>
      <protection/>
    </xf>
    <xf numFmtId="0" fontId="64" fillId="0" borderId="18" xfId="0" applyFont="1" applyBorder="1" applyAlignment="1" applyProtection="1">
      <alignment horizontal="left" vertical="center" wrapText="1" indent="1"/>
      <protection/>
    </xf>
    <xf numFmtId="0" fontId="64" fillId="0" borderId="19" xfId="0" applyFont="1" applyBorder="1" applyAlignment="1" applyProtection="1">
      <alignment horizontal="left" vertical="center" wrapText="1" indent="1"/>
      <protection/>
    </xf>
    <xf numFmtId="0" fontId="61" fillId="0" borderId="13" xfId="0" applyFont="1" applyBorder="1" applyAlignment="1" applyProtection="1">
      <alignment horizontal="center" vertical="center"/>
      <protection/>
    </xf>
    <xf numFmtId="0" fontId="61" fillId="0" borderId="14" xfId="0" applyFont="1" applyBorder="1" applyAlignment="1" applyProtection="1">
      <alignment horizontal="center" vertical="center"/>
      <protection/>
    </xf>
    <xf numFmtId="0" fontId="61" fillId="0" borderId="17" xfId="0" applyFont="1" applyBorder="1" applyAlignment="1" applyProtection="1">
      <alignment horizontal="center" vertical="center"/>
      <protection/>
    </xf>
    <xf numFmtId="0" fontId="57" fillId="0" borderId="18" xfId="0" applyFont="1" applyBorder="1" applyAlignment="1" applyProtection="1">
      <alignment horizontal="left" vertical="center" wrapText="1" indent="1"/>
      <protection/>
    </xf>
    <xf numFmtId="0" fontId="57" fillId="0" borderId="19" xfId="0" applyFont="1" applyBorder="1" applyAlignment="1" applyProtection="1">
      <alignment horizontal="left" vertical="center" wrapText="1" indent="1"/>
      <protection/>
    </xf>
    <xf numFmtId="0" fontId="57" fillId="0" borderId="23" xfId="0" applyFont="1" applyBorder="1" applyAlignment="1" applyProtection="1">
      <alignment horizontal="left" vertical="center" wrapText="1" indent="1"/>
      <protection/>
    </xf>
    <xf numFmtId="0" fontId="57" fillId="0" borderId="24" xfId="0" applyFont="1" applyBorder="1" applyAlignment="1" applyProtection="1">
      <alignment horizontal="left" vertical="center" wrapText="1" indent="1"/>
      <protection/>
    </xf>
    <xf numFmtId="0" fontId="57" fillId="0" borderId="25" xfId="0" applyFont="1" applyBorder="1" applyAlignment="1" applyProtection="1">
      <alignment horizontal="left" vertical="center" wrapText="1" indent="1"/>
      <protection/>
    </xf>
    <xf numFmtId="0" fontId="57" fillId="0" borderId="26" xfId="0" applyFont="1" applyBorder="1" applyAlignment="1" applyProtection="1">
      <alignment horizontal="left" vertical="center" wrapText="1" indent="1"/>
      <protection/>
    </xf>
    <xf numFmtId="0" fontId="57" fillId="0" borderId="0" xfId="0" applyFont="1" applyBorder="1" applyAlignment="1" applyProtection="1">
      <alignment horizontal="left" vertical="center" wrapText="1" indent="1"/>
      <protection/>
    </xf>
    <xf numFmtId="0" fontId="57" fillId="0" borderId="27" xfId="0" applyFont="1" applyBorder="1" applyAlignment="1" applyProtection="1">
      <alignment horizontal="left" vertical="center" wrapText="1" indent="1"/>
      <protection/>
    </xf>
    <xf numFmtId="0" fontId="57" fillId="34" borderId="12" xfId="0" applyFont="1" applyFill="1" applyBorder="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57" fillId="34" borderId="11" xfId="0" applyFont="1" applyFill="1" applyBorder="1" applyAlignment="1" applyProtection="1">
      <alignment horizontal="center" vertical="center"/>
      <protection/>
    </xf>
    <xf numFmtId="0" fontId="57" fillId="9" borderId="12" xfId="0" applyFont="1" applyFill="1" applyBorder="1" applyAlignment="1" applyProtection="1">
      <alignment horizontal="center" vertical="center"/>
      <protection/>
    </xf>
    <xf numFmtId="0" fontId="57" fillId="9" borderId="0" xfId="0" applyFont="1" applyFill="1" applyBorder="1" applyAlignment="1" applyProtection="1">
      <alignment horizontal="center" vertical="center"/>
      <protection/>
    </xf>
    <xf numFmtId="0" fontId="57" fillId="9" borderId="11" xfId="0" applyFont="1" applyFill="1" applyBorder="1" applyAlignment="1" applyProtection="1">
      <alignment horizontal="center" vertical="center"/>
      <protection/>
    </xf>
    <xf numFmtId="0" fontId="57" fillId="16" borderId="12" xfId="0" applyFont="1" applyFill="1" applyBorder="1" applyAlignment="1" applyProtection="1">
      <alignment horizontal="center" vertical="center"/>
      <protection/>
    </xf>
    <xf numFmtId="0" fontId="57" fillId="16" borderId="0" xfId="0" applyFont="1" applyFill="1" applyBorder="1" applyAlignment="1" applyProtection="1">
      <alignment horizontal="center" vertical="center"/>
      <protection/>
    </xf>
    <xf numFmtId="0" fontId="57" fillId="16" borderId="11" xfId="0" applyFont="1" applyFill="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57" fillId="0" borderId="15" xfId="0" applyFont="1" applyBorder="1" applyAlignment="1" applyProtection="1">
      <alignment horizontal="right" vertical="center"/>
      <protection/>
    </xf>
    <xf numFmtId="0" fontId="57" fillId="0" borderId="28" xfId="0" applyFont="1" applyBorder="1" applyAlignment="1" applyProtection="1">
      <alignment horizontal="right" vertical="center"/>
      <protection/>
    </xf>
    <xf numFmtId="0" fontId="57" fillId="0" borderId="12" xfId="0" applyFont="1" applyBorder="1" applyAlignment="1" applyProtection="1">
      <alignment horizontal="right" vertical="center"/>
      <protection/>
    </xf>
    <xf numFmtId="0" fontId="57" fillId="0" borderId="0" xfId="0" applyFont="1" applyBorder="1" applyAlignment="1" applyProtection="1">
      <alignment horizontal="right" vertical="center"/>
      <protection/>
    </xf>
    <xf numFmtId="0" fontId="57" fillId="0" borderId="0" xfId="0" applyFont="1" applyBorder="1" applyAlignment="1" applyProtection="1">
      <alignment horizontal="left" vertical="center" indent="1"/>
      <protection/>
    </xf>
    <xf numFmtId="0" fontId="57" fillId="0" borderId="11" xfId="0" applyFont="1" applyBorder="1" applyAlignment="1" applyProtection="1">
      <alignment horizontal="left" vertical="center" indent="1"/>
      <protection/>
    </xf>
    <xf numFmtId="0" fontId="57" fillId="0" borderId="28" xfId="0" applyFont="1" applyBorder="1" applyAlignment="1" applyProtection="1">
      <alignment horizontal="left" vertical="center" indent="1"/>
      <protection/>
    </xf>
    <xf numFmtId="0" fontId="57" fillId="0" borderId="16" xfId="0" applyFont="1" applyBorder="1" applyAlignment="1" applyProtection="1">
      <alignment horizontal="left" vertical="center" indent="1"/>
      <protection/>
    </xf>
    <xf numFmtId="0" fontId="49" fillId="0" borderId="0" xfId="52" applyAlignment="1" applyProtection="1">
      <alignment/>
      <protection/>
    </xf>
    <xf numFmtId="0" fontId="49" fillId="0" borderId="0" xfId="52" applyAlignment="1" applyProtection="1">
      <alignment horizontal="left"/>
      <protection/>
    </xf>
    <xf numFmtId="0" fontId="0" fillId="34" borderId="0" xfId="0" applyFill="1" applyAlignment="1">
      <alignment horizontal="center"/>
    </xf>
    <xf numFmtId="0" fontId="0" fillId="9" borderId="0" xfId="0" applyFill="1" applyAlignment="1">
      <alignment horizontal="center"/>
    </xf>
    <xf numFmtId="0" fontId="49" fillId="34" borderId="0" xfId="52" applyFill="1" applyAlignment="1" applyProtection="1">
      <alignment/>
      <protection/>
    </xf>
    <xf numFmtId="0" fontId="49" fillId="9" borderId="0" xfId="52" applyFill="1" applyAlignment="1" applyProtection="1">
      <alignment/>
      <protection/>
    </xf>
    <xf numFmtId="0" fontId="49" fillId="0" borderId="0" xfId="52" applyAlignment="1" applyProtection="1">
      <alignmen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wdb.state.tx.us/publications/reports/RainwaterHarvestingManual_3rdedition.pdf" TargetMode="External" /><Relationship Id="rId2" Type="http://schemas.openxmlformats.org/officeDocument/2006/relationships/hyperlink" Target="http://www.twdb.state.tx.us/publications/reports/RainwaterHarvestingManual_3rdedition.pdf"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exaset.tamu.edu/pet.php" TargetMode="External" /><Relationship Id="rId2" Type="http://schemas.openxmlformats.org/officeDocument/2006/relationships/hyperlink" Target="http://cdo.ncdc.noaa.gov/climatenormals/clim81/TXnorm.pdf" TargetMode="External" /><Relationship Id="rId3" Type="http://schemas.openxmlformats.org/officeDocument/2006/relationships/hyperlink" Target="http://www.ose.state.nm.us/water-info/conservation/pdf-manuals/Roof-Reliant-Landscaping/RRL-Chapter-7.pdf" TargetMode="External" /><Relationship Id="rId4" Type="http://schemas.openxmlformats.org/officeDocument/2006/relationships/hyperlink" Target="http://www.rainwaterconference.org/uploads/media/Rainwater_Harvesting_-_an_overview_.pdf" TargetMode="External" /><Relationship Id="rId5" Type="http://schemas.openxmlformats.org/officeDocument/2006/relationships/hyperlink" Target="http://tah2.org/think/math/water-runoff" TargetMode="External" /><Relationship Id="rId6" Type="http://schemas.openxmlformats.org/officeDocument/2006/relationships/hyperlink" Target="http://www.fao.org/docrep/X0490E/x0490e00.htm#Contents" TargetMode="External" /><Relationship Id="rId7" Type="http://schemas.openxmlformats.org/officeDocument/2006/relationships/hyperlink" Target="http://www.epdmroofs.org/faqs/faq_design.shtml#22" TargetMode="External" /><Relationship Id="rId8" Type="http://schemas.openxmlformats.org/officeDocument/2006/relationships/hyperlink" Target="http://www.ose.state.nm.us/water-info/conservation/pdf-manuals/Roof-Reliant-Landscaping/RRL-Chapter-7.pdf" TargetMode="External" /><Relationship Id="rId9" Type="http://schemas.openxmlformats.org/officeDocument/2006/relationships/hyperlink" Target="http://www.ose.state.nm.us/water-info/conservation/pdf-manuals/Roof-Reliant-Landscaping/RRL-Chapter-7.pdf" TargetMode="External" /><Relationship Id="rId10" Type="http://schemas.openxmlformats.org/officeDocument/2006/relationships/hyperlink" Target="http://www.ose.state.nm.us/water-info/conservation/pdf-manuals/Roof-Reliant-Landscaping/RRL-Chapter-7.pdf" TargetMode="External" /><Relationship Id="rId11" Type="http://schemas.openxmlformats.org/officeDocument/2006/relationships/hyperlink" Target="http://www.ose.state.nm.us/water-info/conservation/pdf-manuals/Roof-Reliant-Landscaping/RRL-Chapter-7.pdf" TargetMode="External" /><Relationship Id="rId12" Type="http://schemas.openxmlformats.org/officeDocument/2006/relationships/hyperlink" Target="http://www.rainwaterconference.org/uploads/media/Rainwater_Harvesting_-_an_overview_.pdf" TargetMode="External" /><Relationship Id="rId13" Type="http://schemas.openxmlformats.org/officeDocument/2006/relationships/hyperlink" Target="http://www.rainwaterconference.org/uploads/media/Rainwater_Harvesting_-_an_overview_.pdf" TargetMode="External" /><Relationship Id="rId14" Type="http://schemas.openxmlformats.org/officeDocument/2006/relationships/hyperlink" Target="http://www.rainwaterconference.org/uploads/media/Rainwater_Harvesting_-_an_overview_.pdf" TargetMode="External" /><Relationship Id="rId15" Type="http://schemas.openxmlformats.org/officeDocument/2006/relationships/hyperlink" Target="http://www.ci.austin.tx.us/growgreen/pg_pdfs.htm" TargetMode="External" /><Relationship Id="rId16" Type="http://schemas.openxmlformats.org/officeDocument/2006/relationships/hyperlink" Target="http://www.water.ca.gov/wateruseefficiency/docs/wucols00.pdf" TargetMode="External" /><Relationship Id="rId17" Type="http://schemas.openxmlformats.org/officeDocument/2006/relationships/hyperlink" Target="http://www.twdb.state.tx.us/assistance/conservation/Documents/WaterGuide.pdf" TargetMode="External" /><Relationship Id="rId18" Type="http://schemas.openxmlformats.org/officeDocument/2006/relationships/hyperlink" Target="http://www.ci.austin.tx.us/growgreen/pg_pdfs.htm"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75"/>
  <sheetViews>
    <sheetView showGridLines="0" tabSelected="1" zoomScale="90" zoomScaleNormal="90" zoomScalePageLayoutView="0" workbookViewId="0" topLeftCell="A1">
      <selection activeCell="M30" sqref="M30"/>
    </sheetView>
  </sheetViews>
  <sheetFormatPr defaultColWidth="9.140625" defaultRowHeight="15"/>
  <cols>
    <col min="1" max="1" width="10.7109375" style="37" customWidth="1"/>
    <col min="2" max="2" width="9.7109375" style="37" customWidth="1"/>
    <col min="3" max="3" width="10.28125" style="37" customWidth="1"/>
    <col min="4" max="4" width="11.7109375" style="37" customWidth="1"/>
    <col min="5" max="5" width="11.28125" style="37" customWidth="1"/>
    <col min="6" max="6" width="21.8515625" style="37" bestFit="1" customWidth="1"/>
    <col min="7" max="7" width="12.7109375" style="37" customWidth="1"/>
    <col min="8" max="8" width="10.28125" style="37" customWidth="1"/>
    <col min="9" max="9" width="10.7109375" style="37" customWidth="1"/>
    <col min="10" max="10" width="9.7109375" style="37" customWidth="1"/>
    <col min="11" max="11" width="12.7109375" style="37" customWidth="1"/>
    <col min="12" max="12" width="9.28125" style="37" customWidth="1"/>
    <col min="13" max="13" width="10.7109375" style="37" customWidth="1"/>
    <col min="14" max="14" width="12.28125" style="37" customWidth="1"/>
    <col min="15" max="15" width="13.7109375" style="37" customWidth="1"/>
    <col min="16" max="16" width="17.28125" style="37" customWidth="1"/>
    <col min="17" max="16384" width="9.140625" style="37" customWidth="1"/>
  </cols>
  <sheetData>
    <row r="1" spans="1:16" ht="18">
      <c r="A1" s="86" t="s">
        <v>73</v>
      </c>
      <c r="P1" s="95" t="s">
        <v>122</v>
      </c>
    </row>
    <row r="2" spans="1:16" ht="15">
      <c r="A2" s="53"/>
      <c r="P2" s="96" t="str">
        <f ca="1">"Today's date:  "&amp;TEXT(NOW(),"MMM. DD, YYYY")</f>
        <v>Today's date:  Dec. 01, 2010</v>
      </c>
    </row>
    <row r="3" s="44" customFormat="1" ht="15" customHeight="1">
      <c r="A3" s="85" t="s">
        <v>76</v>
      </c>
    </row>
    <row r="4" spans="1:11" s="44" customFormat="1" ht="15" customHeight="1">
      <c r="A4" s="49" t="s">
        <v>72</v>
      </c>
      <c r="B4" s="50"/>
      <c r="C4" s="50"/>
      <c r="D4" s="50"/>
      <c r="E4" s="50"/>
      <c r="F4" s="50"/>
      <c r="G4" s="50"/>
      <c r="H4" s="50"/>
      <c r="I4" s="50"/>
      <c r="J4" s="50"/>
      <c r="K4" s="50"/>
    </row>
    <row r="5" ht="9.75" customHeight="1">
      <c r="A5" s="38"/>
    </row>
    <row r="6" spans="1:16" ht="45" customHeight="1">
      <c r="A6" s="39">
        <v>3</v>
      </c>
      <c r="B6" s="125" t="s">
        <v>135</v>
      </c>
      <c r="C6" s="125"/>
      <c r="D6" s="125"/>
      <c r="E6" s="125"/>
      <c r="F6" s="125"/>
      <c r="G6" s="125"/>
      <c r="H6" s="125"/>
      <c r="I6" s="125"/>
      <c r="J6" s="125"/>
      <c r="K6" s="125"/>
      <c r="L6" s="125"/>
      <c r="M6" s="125"/>
      <c r="N6" s="125"/>
      <c r="O6" s="125"/>
      <c r="P6" s="126"/>
    </row>
    <row r="7" spans="1:16" s="44" customFormat="1" ht="15.75" customHeight="1">
      <c r="A7" s="101">
        <v>16</v>
      </c>
      <c r="B7" s="151" t="s">
        <v>95</v>
      </c>
      <c r="C7" s="151"/>
      <c r="D7" s="151"/>
      <c r="E7" s="151"/>
      <c r="F7" s="151"/>
      <c r="G7" s="151"/>
      <c r="H7" s="151"/>
      <c r="I7" s="151"/>
      <c r="J7" s="151"/>
      <c r="K7" s="151"/>
      <c r="L7" s="151"/>
      <c r="M7" s="151"/>
      <c r="N7" s="151"/>
      <c r="O7" s="151"/>
      <c r="P7" s="152"/>
    </row>
    <row r="8" spans="1:16" s="44" customFormat="1" ht="15.75" customHeight="1">
      <c r="A8" s="101">
        <v>20</v>
      </c>
      <c r="B8" s="117" t="s">
        <v>96</v>
      </c>
      <c r="C8" s="117"/>
      <c r="D8" s="117"/>
      <c r="E8" s="117"/>
      <c r="F8" s="117"/>
      <c r="G8" s="117"/>
      <c r="H8" s="117"/>
      <c r="I8" s="117"/>
      <c r="J8" s="117"/>
      <c r="K8" s="117"/>
      <c r="L8" s="117"/>
      <c r="M8" s="117"/>
      <c r="N8" s="117"/>
      <c r="O8" s="117"/>
      <c r="P8" s="118"/>
    </row>
    <row r="9" spans="1:16" s="44" customFormat="1" ht="15.75" customHeight="1">
      <c r="A9" s="101"/>
      <c r="B9" s="149" t="s">
        <v>117</v>
      </c>
      <c r="C9" s="149"/>
      <c r="D9" s="149"/>
      <c r="E9" s="149"/>
      <c r="F9" s="149"/>
      <c r="G9" s="149"/>
      <c r="H9" s="149"/>
      <c r="I9" s="149"/>
      <c r="J9" s="149"/>
      <c r="K9" s="149"/>
      <c r="L9" s="149"/>
      <c r="M9" s="149"/>
      <c r="N9" s="149"/>
      <c r="O9" s="149"/>
      <c r="P9" s="150"/>
    </row>
    <row r="10" spans="1:16" ht="30" customHeight="1">
      <c r="A10" s="39">
        <v>1</v>
      </c>
      <c r="B10" s="125" t="s">
        <v>137</v>
      </c>
      <c r="C10" s="117"/>
      <c r="D10" s="117"/>
      <c r="E10" s="117"/>
      <c r="F10" s="117"/>
      <c r="G10" s="117"/>
      <c r="H10" s="117"/>
      <c r="I10" s="117"/>
      <c r="J10" s="117"/>
      <c r="K10" s="117"/>
      <c r="L10" s="117"/>
      <c r="M10" s="117"/>
      <c r="N10" s="117"/>
      <c r="O10" s="117"/>
      <c r="P10" s="118"/>
    </row>
    <row r="11" spans="1:16" s="44" customFormat="1" ht="15.75" customHeight="1">
      <c r="A11" s="101">
        <v>200</v>
      </c>
      <c r="B11" s="149" t="s">
        <v>97</v>
      </c>
      <c r="C11" s="149"/>
      <c r="D11" s="149"/>
      <c r="E11" s="149"/>
      <c r="F11" s="149"/>
      <c r="G11" s="149"/>
      <c r="H11" s="149"/>
      <c r="I11" s="149"/>
      <c r="J11" s="149"/>
      <c r="K11" s="149"/>
      <c r="L11" s="149"/>
      <c r="M11" s="149"/>
      <c r="N11" s="149"/>
      <c r="O11" s="149"/>
      <c r="P11" s="150"/>
    </row>
    <row r="12" spans="1:16" s="44" customFormat="1" ht="15.75" customHeight="1">
      <c r="A12" s="101">
        <v>4</v>
      </c>
      <c r="B12" s="117" t="s">
        <v>98</v>
      </c>
      <c r="C12" s="117"/>
      <c r="D12" s="117"/>
      <c r="E12" s="117"/>
      <c r="F12" s="117"/>
      <c r="G12" s="117"/>
      <c r="H12" s="117"/>
      <c r="I12" s="117"/>
      <c r="J12" s="117"/>
      <c r="K12" s="117"/>
      <c r="L12" s="117"/>
      <c r="M12" s="117"/>
      <c r="N12" s="117"/>
      <c r="O12" s="117"/>
      <c r="P12" s="118"/>
    </row>
    <row r="13" spans="1:16" s="44" customFormat="1" ht="15.75" customHeight="1">
      <c r="A13" s="101">
        <v>50</v>
      </c>
      <c r="B13" s="149" t="s">
        <v>99</v>
      </c>
      <c r="C13" s="149"/>
      <c r="D13" s="149"/>
      <c r="E13" s="149"/>
      <c r="F13" s="149"/>
      <c r="G13" s="149"/>
      <c r="H13" s="149"/>
      <c r="I13" s="149"/>
      <c r="J13" s="149"/>
      <c r="K13" s="149"/>
      <c r="L13" s="149"/>
      <c r="M13" s="149"/>
      <c r="N13" s="149"/>
      <c r="O13" s="149"/>
      <c r="P13" s="150"/>
    </row>
    <row r="14" spans="1:16" s="44" customFormat="1" ht="15.75" customHeight="1">
      <c r="A14" s="101"/>
      <c r="B14" s="117" t="s">
        <v>118</v>
      </c>
      <c r="C14" s="117"/>
      <c r="D14" s="117"/>
      <c r="E14" s="117"/>
      <c r="F14" s="117"/>
      <c r="G14" s="117"/>
      <c r="H14" s="117"/>
      <c r="I14" s="117"/>
      <c r="J14" s="117"/>
      <c r="K14" s="117"/>
      <c r="L14" s="117"/>
      <c r="M14" s="117"/>
      <c r="N14" s="117"/>
      <c r="O14" s="117"/>
      <c r="P14" s="118"/>
    </row>
    <row r="15" spans="1:16" s="44" customFormat="1" ht="84.75" customHeight="1">
      <c r="A15" s="39">
        <v>3</v>
      </c>
      <c r="B15" s="125" t="s">
        <v>123</v>
      </c>
      <c r="C15" s="125"/>
      <c r="D15" s="125"/>
      <c r="E15" s="125"/>
      <c r="F15" s="125"/>
      <c r="G15" s="125"/>
      <c r="H15" s="125"/>
      <c r="I15" s="125"/>
      <c r="J15" s="125"/>
      <c r="K15" s="125"/>
      <c r="L15" s="125"/>
      <c r="M15" s="125"/>
      <c r="N15" s="125"/>
      <c r="O15" s="125"/>
      <c r="P15" s="126"/>
    </row>
    <row r="16" spans="1:16" s="44" customFormat="1" ht="15.75" customHeight="1">
      <c r="A16" s="39">
        <v>2</v>
      </c>
      <c r="B16" s="117" t="s">
        <v>100</v>
      </c>
      <c r="C16" s="117"/>
      <c r="D16" s="117"/>
      <c r="E16" s="117"/>
      <c r="F16" s="117"/>
      <c r="G16" s="117"/>
      <c r="H16" s="117"/>
      <c r="I16" s="117"/>
      <c r="J16" s="117"/>
      <c r="K16" s="117"/>
      <c r="L16" s="117"/>
      <c r="M16" s="117"/>
      <c r="N16" s="117"/>
      <c r="O16" s="117"/>
      <c r="P16" s="118"/>
    </row>
    <row r="17" spans="1:16" s="44" customFormat="1" ht="15.75" customHeight="1">
      <c r="A17" s="101">
        <v>0</v>
      </c>
      <c r="B17" s="149" t="s">
        <v>127</v>
      </c>
      <c r="C17" s="149"/>
      <c r="D17" s="149"/>
      <c r="E17" s="149"/>
      <c r="F17" s="149"/>
      <c r="G17" s="149"/>
      <c r="H17" s="149"/>
      <c r="I17" s="149"/>
      <c r="J17" s="149"/>
      <c r="K17" s="149"/>
      <c r="L17" s="149"/>
      <c r="M17" s="149"/>
      <c r="N17" s="149"/>
      <c r="O17" s="149"/>
      <c r="P17" s="150"/>
    </row>
    <row r="18" spans="1:16" s="44" customFormat="1" ht="15.75" customHeight="1">
      <c r="A18" s="39">
        <v>12</v>
      </c>
      <c r="B18" s="117" t="s">
        <v>124</v>
      </c>
      <c r="C18" s="117"/>
      <c r="D18" s="117"/>
      <c r="E18" s="117"/>
      <c r="F18" s="117"/>
      <c r="G18" s="117"/>
      <c r="H18" s="117"/>
      <c r="I18" s="117"/>
      <c r="J18" s="117"/>
      <c r="K18" s="117"/>
      <c r="L18" s="117"/>
      <c r="M18" s="117"/>
      <c r="N18" s="117"/>
      <c r="O18" s="117"/>
      <c r="P18" s="118"/>
    </row>
    <row r="19" spans="1:16" s="44" customFormat="1" ht="60" customHeight="1">
      <c r="A19" s="40">
        <v>0</v>
      </c>
      <c r="B19" s="125" t="s">
        <v>134</v>
      </c>
      <c r="C19" s="117"/>
      <c r="D19" s="117"/>
      <c r="E19" s="117"/>
      <c r="F19" s="117"/>
      <c r="G19" s="117"/>
      <c r="H19" s="117"/>
      <c r="I19" s="117"/>
      <c r="J19" s="117"/>
      <c r="K19" s="117"/>
      <c r="L19" s="117"/>
      <c r="M19" s="117"/>
      <c r="N19" s="117"/>
      <c r="O19" s="117"/>
      <c r="P19" s="118"/>
    </row>
    <row r="20" ht="13.5" customHeight="1"/>
    <row r="21" s="44" customFormat="1" ht="15.75" customHeight="1">
      <c r="A21" s="54" t="s">
        <v>94</v>
      </c>
    </row>
    <row r="22" spans="1:8" s="44" customFormat="1" ht="13.5" customHeight="1">
      <c r="A22" s="145" t="str">
        <f>IF(OR($A$9="",$A$9=0),"A 'simple' collection area will be used based on the supplied length and width (square feet) =","A 'complex' collection area will be used based on your own calculation (square feet) =")</f>
        <v>A 'simple' collection area will be used based on the supplied length and width (square feet) =</v>
      </c>
      <c r="B22" s="146"/>
      <c r="C22" s="146"/>
      <c r="D22" s="146"/>
      <c r="E22" s="146"/>
      <c r="F22" s="146"/>
      <c r="G22" s="146"/>
      <c r="H22" s="102">
        <f>IF(OR($A$9="",$A$9=0),$A$7*$A$8,$A$9)</f>
        <v>320</v>
      </c>
    </row>
    <row r="23" spans="1:8" s="44" customFormat="1" ht="13.5" customHeight="1">
      <c r="A23" s="147" t="str">
        <f>"Runoff coefficient based on a '"&amp;VLOOKUP($A$10,Data!$A$31:$C$37,2,)&amp;"' collection surface ="</f>
        <v>Runoff coefficient based on a 'Metal or glass' collection surface =</v>
      </c>
      <c r="B23" s="148"/>
      <c r="C23" s="148"/>
      <c r="D23" s="148"/>
      <c r="E23" s="148"/>
      <c r="F23" s="148"/>
      <c r="G23" s="148"/>
      <c r="H23" s="65">
        <f>VLOOKUP($A$10,Data!$A$31:$C$37,3,)</f>
        <v>0.95</v>
      </c>
    </row>
    <row r="24" spans="1:8" s="44" customFormat="1" ht="13.5" customHeight="1">
      <c r="A24" s="147" t="str">
        <f>"Plant Water Use coefficient based on '"&amp;VLOOKUP($A$15,Data!$A$47:$C$51,2,)&amp;"' water use plants ="</f>
        <v>Plant Water Use coefficient based on 'Medium' water use plants =</v>
      </c>
      <c r="B24" s="148"/>
      <c r="C24" s="148"/>
      <c r="D24" s="148"/>
      <c r="E24" s="148"/>
      <c r="F24" s="148"/>
      <c r="G24" s="148"/>
      <c r="H24" s="65">
        <f>VLOOKUP($A$15,Data!$A$47:$C$51,3,)</f>
        <v>0.6</v>
      </c>
    </row>
    <row r="25" spans="1:8" s="44" customFormat="1" ht="13.5" customHeight="1">
      <c r="A25" s="147" t="str">
        <f>IF($H$25=0,"An area what not selected for outdoor irrigation",IF(OR($A$14="",$A$14=0),"A 'simple' irrigation area will be used based on the supplied length and width (square feet) =","A 'complex' irrigation area will be used based on your own calculation (square feet) ="))</f>
        <v>A 'simple' irrigation area will be used based on the supplied length and width (square feet) =</v>
      </c>
      <c r="B25" s="148"/>
      <c r="C25" s="148"/>
      <c r="D25" s="148"/>
      <c r="E25" s="148"/>
      <c r="F25" s="148"/>
      <c r="G25" s="148"/>
      <c r="H25" s="103">
        <f>IF(OR($A$14="",$A$14=0),$A$12*$A$13,$A$14)</f>
        <v>200</v>
      </c>
    </row>
    <row r="26" spans="1:17" s="44" customFormat="1" ht="13.5" customHeight="1">
      <c r="A26" s="142" t="str">
        <f>IF($A$16=1,"*You DO plan to irrigate during the months of November-February","*You do NOT plan to irrigate during the months of November-February")</f>
        <v>*You do NOT plan to irrigate during the months of November-February</v>
      </c>
      <c r="B26" s="143"/>
      <c r="C26" s="143"/>
      <c r="D26" s="143"/>
      <c r="E26" s="143"/>
      <c r="F26" s="143"/>
      <c r="G26" s="143"/>
      <c r="H26" s="144"/>
      <c r="Q26" s="64"/>
    </row>
    <row r="27" spans="1:2" ht="13.5" customHeight="1">
      <c r="A27" s="41"/>
      <c r="B27" s="38"/>
    </row>
    <row r="28" spans="1:2" ht="13.5" customHeight="1">
      <c r="A28" s="41"/>
      <c r="B28" s="38"/>
    </row>
    <row r="29" s="44" customFormat="1" ht="15.75" customHeight="1">
      <c r="A29" s="85" t="s">
        <v>77</v>
      </c>
    </row>
    <row r="30" s="44" customFormat="1" ht="15.75" customHeight="1">
      <c r="A30" s="54" t="str">
        <f>"Calculations completed for "&amp;VLOOKUP($A$6,Data!$A$2:$N$20,2,)&amp;", TX"</f>
        <v>Calculations completed for Austin, TX</v>
      </c>
    </row>
    <row r="31" ht="9.75" customHeight="1"/>
    <row r="32" spans="1:16" s="44" customFormat="1" ht="19.5" customHeight="1">
      <c r="A32" s="52"/>
      <c r="B32" s="133" t="s">
        <v>15</v>
      </c>
      <c r="C32" s="134"/>
      <c r="D32" s="134"/>
      <c r="E32" s="134"/>
      <c r="F32" s="135"/>
      <c r="G32" s="136" t="s">
        <v>16</v>
      </c>
      <c r="H32" s="137"/>
      <c r="I32" s="137"/>
      <c r="J32" s="137"/>
      <c r="K32" s="137"/>
      <c r="L32" s="137"/>
      <c r="M32" s="138"/>
      <c r="N32" s="139" t="s">
        <v>108</v>
      </c>
      <c r="O32" s="140"/>
      <c r="P32" s="141"/>
    </row>
    <row r="33" spans="1:16" ht="105" customHeight="1">
      <c r="A33" s="81" t="s">
        <v>0</v>
      </c>
      <c r="B33" s="82" t="s">
        <v>60</v>
      </c>
      <c r="C33" s="83" t="s">
        <v>14</v>
      </c>
      <c r="D33" s="83" t="s">
        <v>59</v>
      </c>
      <c r="E33" s="83" t="s">
        <v>133</v>
      </c>
      <c r="F33" s="84" t="s">
        <v>75</v>
      </c>
      <c r="G33" s="82" t="s">
        <v>74</v>
      </c>
      <c r="H33" s="83" t="s">
        <v>17</v>
      </c>
      <c r="I33" s="83" t="s">
        <v>18</v>
      </c>
      <c r="J33" s="83" t="s">
        <v>19</v>
      </c>
      <c r="K33" s="83" t="s">
        <v>129</v>
      </c>
      <c r="L33" s="83" t="s">
        <v>20</v>
      </c>
      <c r="M33" s="84" t="s">
        <v>21</v>
      </c>
      <c r="N33" s="82" t="s">
        <v>109</v>
      </c>
      <c r="O33" s="83" t="s">
        <v>128</v>
      </c>
      <c r="P33" s="84" t="s">
        <v>75</v>
      </c>
    </row>
    <row r="34" spans="1:16" ht="13.5" customHeight="1">
      <c r="A34" s="42" t="str">
        <f>VLOOKUP($A$18,Data!$A$63:$B$74,2,)</f>
        <v>December</v>
      </c>
      <c r="B34" s="69">
        <f>VLOOKUP($A$6,Data!$A$2:$N$20,VLOOKUP(A34,Data!$B$63:$C$74,2,)+2,)</f>
        <v>2.53</v>
      </c>
      <c r="C34" s="70">
        <f>B34*0.62</f>
        <v>1.5685999999999998</v>
      </c>
      <c r="D34" s="71">
        <f>C34*$H$22</f>
        <v>501.95199999999994</v>
      </c>
      <c r="E34" s="71">
        <f>ROUND(D34*$H$23,0)</f>
        <v>477</v>
      </c>
      <c r="F34" s="97" t="str">
        <f>IF(E34&gt;$A$11,"Supply &gt; tank capacity.","")</f>
        <v>Supply &gt; tank capacity.</v>
      </c>
      <c r="G34" s="69">
        <f>VLOOKUP($A$6,Data!$P$2:$AC$20,VLOOKUP(A34,Data!$B$63:$C$74,2,)+2,)</f>
        <v>2.21</v>
      </c>
      <c r="H34" s="70">
        <f>G34*$H$24</f>
        <v>1.3259999999999998</v>
      </c>
      <c r="I34" s="70">
        <f>H34*0.62</f>
        <v>0.8221199999999999</v>
      </c>
      <c r="J34" s="71">
        <f>IF((AND($A$16=2,(OR(VLOOKUP(A34,Data!$B$63:$C$74,2,)&gt;=11,VLOOKUP(A34,Data!$B$63:$C$74,2,)&lt;=2)))),0,ROUND(I34*$H$25,0))</f>
        <v>0</v>
      </c>
      <c r="K34" s="71">
        <f>ROUND(C34*$H$25,0)</f>
        <v>314</v>
      </c>
      <c r="L34" s="71">
        <f>$A$17</f>
        <v>0</v>
      </c>
      <c r="M34" s="75">
        <f>IF(K34&gt;J34,L34,J34-K34+L34)</f>
        <v>0</v>
      </c>
      <c r="N34" s="76">
        <f>IF(M34=0,0,IF(E34+$A$19&gt;$A$11,IF($A$11-M34&lt;0,$A$11,M34),IF(E34+$A$19-M34&lt;0,E34+$A$19,M34)))</f>
        <v>0</v>
      </c>
      <c r="O34" s="89">
        <f>IF(E34+$A$19&gt;$A$11,$A$11-M34,E34+$A$19-M34)</f>
        <v>200</v>
      </c>
      <c r="P34" s="99">
        <f>IF(O34&lt;0,"Demand &gt; supply.","")</f>
      </c>
    </row>
    <row r="35" spans="1:16" ht="13.5" customHeight="1">
      <c r="A35" s="42" t="str">
        <f>VLOOKUP(IF((VLOOKUP(A34,Data!$B$63:$C$74,2,)+1)&gt;12,1,VLOOKUP(A34,Data!$B$63:$C$74,2,)+1),Data!$A$63:$B$74,2,)</f>
        <v>January</v>
      </c>
      <c r="B35" s="69">
        <f>VLOOKUP($A$6,Data!$A$2:$N$20,VLOOKUP(A35,Data!$B$63:$C$74,2,)+2,)</f>
        <v>2.21</v>
      </c>
      <c r="C35" s="70">
        <f aca="true" t="shared" si="0" ref="C35:C45">B35*0.62</f>
        <v>1.3701999999999999</v>
      </c>
      <c r="D35" s="71">
        <f aca="true" t="shared" si="1" ref="D35:D45">C35*$H$22</f>
        <v>438.46399999999994</v>
      </c>
      <c r="E35" s="71">
        <f aca="true" t="shared" si="2" ref="E35:E45">ROUND(D35*$H$23,0)</f>
        <v>417</v>
      </c>
      <c r="F35" s="97" t="str">
        <f aca="true" t="shared" si="3" ref="F35:F45">IF(E35&gt;$A$11,"Supply &gt; tank capacity.","")</f>
        <v>Supply &gt; tank capacity.</v>
      </c>
      <c r="G35" s="69">
        <f>VLOOKUP($A$6,Data!$P$2:$AC$20,VLOOKUP(A35,Data!$B$63:$C$74,2,)+2,)</f>
        <v>2.27</v>
      </c>
      <c r="H35" s="70">
        <f aca="true" t="shared" si="4" ref="H35:H45">G35*$H$24</f>
        <v>1.3619999999999999</v>
      </c>
      <c r="I35" s="70">
        <f aca="true" t="shared" si="5" ref="I35:I45">H35*0.62</f>
        <v>0.84444</v>
      </c>
      <c r="J35" s="71">
        <f>IF((AND($A$16=2,(OR(VLOOKUP(A35,Data!$B$63:$C$74,2,)&gt;=11,VLOOKUP(A35,Data!$B$63:$C$74,2,)&lt;=2)))),0,ROUND(I35*$H$25,0))</f>
        <v>0</v>
      </c>
      <c r="K35" s="71">
        <f aca="true" t="shared" si="6" ref="K35:K45">ROUND(C35*$H$25,0)</f>
        <v>274</v>
      </c>
      <c r="L35" s="71">
        <f aca="true" t="shared" si="7" ref="L35:L45">$A$17</f>
        <v>0</v>
      </c>
      <c r="M35" s="75">
        <f aca="true" t="shared" si="8" ref="M35:M45">IF(K35&gt;J35,L35,J35-K35+L35)</f>
        <v>0</v>
      </c>
      <c r="N35" s="76">
        <f>IF(M35=0,0,IF(O34&lt;0,IF(O35&lt;0,IF(E35&gt;$A$11,$A$11,E35),M35),IF(O35&lt;0,IF(O34+E35&gt;$A$11,$A$11,O34+E35),M35)))</f>
        <v>0</v>
      </c>
      <c r="O35" s="89">
        <f aca="true" t="shared" si="9" ref="O35:O45">IF(O34&lt;0,IF(E35&gt;$A$11,$A$11-M35,E35-M35),IF((O34+E35)&gt;$A$11,$A$11-M35,O34+E35-M35))</f>
        <v>200</v>
      </c>
      <c r="P35" s="99">
        <f aca="true" t="shared" si="10" ref="P35:P45">IF(O35&lt;0,"Demand &gt; supply.","")</f>
      </c>
    </row>
    <row r="36" spans="1:16" ht="13.5" customHeight="1">
      <c r="A36" s="42" t="str">
        <f>VLOOKUP(IF((VLOOKUP(A35,Data!$B$63:$C$74,2,)+1)&gt;12,1,VLOOKUP(A35,Data!$B$63:$C$74,2,)+1),Data!$A$63:$B$74,2,)</f>
        <v>February</v>
      </c>
      <c r="B36" s="69">
        <f>VLOOKUP($A$6,Data!$A$2:$N$20,VLOOKUP(A36,Data!$B$63:$C$74,2,)+2,)</f>
        <v>2.02</v>
      </c>
      <c r="C36" s="70">
        <f t="shared" si="0"/>
        <v>1.2524</v>
      </c>
      <c r="D36" s="71">
        <f t="shared" si="1"/>
        <v>400.768</v>
      </c>
      <c r="E36" s="71">
        <f t="shared" si="2"/>
        <v>381</v>
      </c>
      <c r="F36" s="97" t="str">
        <f t="shared" si="3"/>
        <v>Supply &gt; tank capacity.</v>
      </c>
      <c r="G36" s="69">
        <f>VLOOKUP($A$6,Data!$P$2:$AC$20,VLOOKUP(A36,Data!$B$63:$C$74,2,)+2,)</f>
        <v>2.72</v>
      </c>
      <c r="H36" s="70">
        <f t="shared" si="4"/>
        <v>1.6320000000000001</v>
      </c>
      <c r="I36" s="70">
        <f t="shared" si="5"/>
        <v>1.01184</v>
      </c>
      <c r="J36" s="71">
        <f>IF((AND($A$16=2,(OR(VLOOKUP(A36,Data!$B$63:$C$74,2,)&gt;=11,VLOOKUP(A36,Data!$B$63:$C$74,2,)&lt;=2)))),0,ROUND(I36*$H$25,0))</f>
        <v>0</v>
      </c>
      <c r="K36" s="71">
        <f t="shared" si="6"/>
        <v>250</v>
      </c>
      <c r="L36" s="71">
        <f t="shared" si="7"/>
        <v>0</v>
      </c>
      <c r="M36" s="75">
        <f t="shared" si="8"/>
        <v>0</v>
      </c>
      <c r="N36" s="76">
        <f>IF(M36=0,0,IF(O35&lt;0,IF(O36&lt;0,IF(E36&gt;$A$11,$A$11,E36),M36),IF(O36&lt;0,IF(O35+E36&gt;$A$11,$A$11,O35+E36),M36)))</f>
        <v>0</v>
      </c>
      <c r="O36" s="89">
        <f t="shared" si="9"/>
        <v>200</v>
      </c>
      <c r="P36" s="99">
        <f t="shared" si="10"/>
      </c>
    </row>
    <row r="37" spans="1:16" ht="13.5" customHeight="1">
      <c r="A37" s="42" t="str">
        <f>VLOOKUP(IF((VLOOKUP(A36,Data!$B$63:$C$74,2,)+1)&gt;12,1,VLOOKUP(A36,Data!$B$63:$C$74,2,)+1),Data!$A$63:$B$74,2,)</f>
        <v>March</v>
      </c>
      <c r="B37" s="69">
        <f>VLOOKUP($A$6,Data!$A$2:$N$20,VLOOKUP(A37,Data!$B$63:$C$74,2,)+2,)</f>
        <v>2.36</v>
      </c>
      <c r="C37" s="70">
        <f t="shared" si="0"/>
        <v>1.4631999999999998</v>
      </c>
      <c r="D37" s="71">
        <f t="shared" si="1"/>
        <v>468.22399999999993</v>
      </c>
      <c r="E37" s="71">
        <f t="shared" si="2"/>
        <v>445</v>
      </c>
      <c r="F37" s="97" t="str">
        <f t="shared" si="3"/>
        <v>Supply &gt; tank capacity.</v>
      </c>
      <c r="G37" s="69">
        <f>VLOOKUP($A$6,Data!$P$2:$AC$20,VLOOKUP(A37,Data!$B$63:$C$74,2,)+2,)</f>
        <v>4.34</v>
      </c>
      <c r="H37" s="70">
        <f t="shared" si="4"/>
        <v>2.6039999999999996</v>
      </c>
      <c r="I37" s="70">
        <f t="shared" si="5"/>
        <v>1.6144799999999997</v>
      </c>
      <c r="J37" s="71">
        <f>IF((AND($A$16=2,(OR(VLOOKUP(A37,Data!$B$63:$C$74,2,)&gt;=11,VLOOKUP(A37,Data!$B$63:$C$74,2,)&lt;=2)))),0,ROUND(I37*$H$25,0))</f>
        <v>323</v>
      </c>
      <c r="K37" s="71">
        <f t="shared" si="6"/>
        <v>293</v>
      </c>
      <c r="L37" s="71">
        <f t="shared" si="7"/>
        <v>0</v>
      </c>
      <c r="M37" s="75">
        <f t="shared" si="8"/>
        <v>30</v>
      </c>
      <c r="N37" s="76">
        <f>IF(M37=0,0,IF(O36&lt;0,IF(O37&lt;0,IF(E37&gt;$A$11,$A$11,E37),M37),IF(O37&lt;0,IF(O36+E37&gt;$A$11,$A$11,O36+E37),M37)))</f>
        <v>30</v>
      </c>
      <c r="O37" s="89">
        <f t="shared" si="9"/>
        <v>170</v>
      </c>
      <c r="P37" s="99">
        <f t="shared" si="10"/>
      </c>
    </row>
    <row r="38" spans="1:16" ht="13.5" customHeight="1">
      <c r="A38" s="42" t="str">
        <f>VLOOKUP(IF((VLOOKUP(A37,Data!$B$63:$C$74,2,)+1)&gt;12,1,VLOOKUP(A37,Data!$B$63:$C$74,2,)+1),Data!$A$63:$B$74,2,)</f>
        <v>April</v>
      </c>
      <c r="B38" s="69">
        <f>VLOOKUP($A$6,Data!$A$2:$N$20,VLOOKUP(A38,Data!$B$63:$C$74,2,)+2,)</f>
        <v>2.63</v>
      </c>
      <c r="C38" s="70">
        <f t="shared" si="0"/>
        <v>1.6305999999999998</v>
      </c>
      <c r="D38" s="71">
        <f t="shared" si="1"/>
        <v>521.7919999999999</v>
      </c>
      <c r="E38" s="71">
        <f t="shared" si="2"/>
        <v>496</v>
      </c>
      <c r="F38" s="97" t="str">
        <f t="shared" si="3"/>
        <v>Supply &gt; tank capacity.</v>
      </c>
      <c r="G38" s="69">
        <f>VLOOKUP($A$6,Data!$P$2:$AC$20,VLOOKUP(A38,Data!$B$63:$C$74,2,)+2,)</f>
        <v>5.27</v>
      </c>
      <c r="H38" s="70">
        <f t="shared" si="4"/>
        <v>3.1619999999999995</v>
      </c>
      <c r="I38" s="70">
        <f t="shared" si="5"/>
        <v>1.9604399999999997</v>
      </c>
      <c r="J38" s="71">
        <f>IF((AND($A$16=2,(OR(VLOOKUP(A38,Data!$B$63:$C$74,2,)&gt;=11,VLOOKUP(A38,Data!$B$63:$C$74,2,)&lt;=2)))),0,ROUND(I38*$H$25,0))</f>
        <v>392</v>
      </c>
      <c r="K38" s="71">
        <f t="shared" si="6"/>
        <v>326</v>
      </c>
      <c r="L38" s="71">
        <f t="shared" si="7"/>
        <v>0</v>
      </c>
      <c r="M38" s="75">
        <f t="shared" si="8"/>
        <v>66</v>
      </c>
      <c r="N38" s="76">
        <f>IF(M38=0,0,IF(O37&lt;0,IF(O38&lt;0,IF(E38&gt;$A$11,$A$11,E38),M38),IF(O38&lt;0,IF(O37+E38&gt;$A$11,$A$11,O37+E38),M38)))</f>
        <v>66</v>
      </c>
      <c r="O38" s="89">
        <f t="shared" si="9"/>
        <v>134</v>
      </c>
      <c r="P38" s="99">
        <f t="shared" si="10"/>
      </c>
    </row>
    <row r="39" spans="1:16" ht="13.5" customHeight="1">
      <c r="A39" s="42" t="str">
        <f>VLOOKUP(IF((VLOOKUP(A38,Data!$B$63:$C$74,2,)+1)&gt;12,1,VLOOKUP(A38,Data!$B$63:$C$74,2,)+1),Data!$A$63:$B$74,2,)</f>
        <v>May</v>
      </c>
      <c r="B39" s="69">
        <f>VLOOKUP($A$6,Data!$A$2:$N$20,VLOOKUP(A39,Data!$B$63:$C$74,2,)+2,)</f>
        <v>5.12</v>
      </c>
      <c r="C39" s="70">
        <f t="shared" si="0"/>
        <v>3.1744</v>
      </c>
      <c r="D39" s="71">
        <f t="shared" si="1"/>
        <v>1015.808</v>
      </c>
      <c r="E39" s="71">
        <f t="shared" si="2"/>
        <v>965</v>
      </c>
      <c r="F39" s="97" t="str">
        <f t="shared" si="3"/>
        <v>Supply &gt; tank capacity.</v>
      </c>
      <c r="G39" s="69">
        <f>VLOOKUP($A$6,Data!$P$2:$AC$20,VLOOKUP(A39,Data!$B$63:$C$74,2,)+2,)</f>
        <v>6.39</v>
      </c>
      <c r="H39" s="70">
        <f t="shared" si="4"/>
        <v>3.8339999999999996</v>
      </c>
      <c r="I39" s="70">
        <f t="shared" si="5"/>
        <v>2.37708</v>
      </c>
      <c r="J39" s="71">
        <f>IF((AND($A$16=2,(OR(VLOOKUP(A39,Data!$B$63:$C$74,2,)&gt;=11,VLOOKUP(A39,Data!$B$63:$C$74,2,)&lt;=2)))),0,ROUND(I39*$H$25,0))</f>
        <v>475</v>
      </c>
      <c r="K39" s="71">
        <f t="shared" si="6"/>
        <v>635</v>
      </c>
      <c r="L39" s="71">
        <f t="shared" si="7"/>
        <v>0</v>
      </c>
      <c r="M39" s="75">
        <f t="shared" si="8"/>
        <v>0</v>
      </c>
      <c r="N39" s="76">
        <f>IF(M39=0,0,IF(O38&lt;0,IF(O39&lt;0,IF(E39&gt;$A$11,$A$11,E39),M39),IF(O39&lt;0,IF(O38+E39&gt;$A$11,$A$11,O38+E39),M39)))</f>
        <v>0</v>
      </c>
      <c r="O39" s="89">
        <f t="shared" si="9"/>
        <v>200</v>
      </c>
      <c r="P39" s="99">
        <f t="shared" si="10"/>
      </c>
    </row>
    <row r="40" spans="1:16" ht="13.5" customHeight="1">
      <c r="A40" s="42" t="str">
        <f>VLOOKUP(IF((VLOOKUP(A39,Data!$B$63:$C$74,2,)+1)&gt;12,1,VLOOKUP(A39,Data!$B$63:$C$74,2,)+1),Data!$A$63:$B$74,2,)</f>
        <v>June</v>
      </c>
      <c r="B40" s="69">
        <f>VLOOKUP($A$6,Data!$A$2:$N$20,VLOOKUP(A40,Data!$B$63:$C$74,2,)+2,)</f>
        <v>3.42</v>
      </c>
      <c r="C40" s="70">
        <f t="shared" si="0"/>
        <v>2.1204</v>
      </c>
      <c r="D40" s="71">
        <f t="shared" si="1"/>
        <v>678.528</v>
      </c>
      <c r="E40" s="71">
        <f t="shared" si="2"/>
        <v>645</v>
      </c>
      <c r="F40" s="97" t="str">
        <f t="shared" si="3"/>
        <v>Supply &gt; tank capacity.</v>
      </c>
      <c r="G40" s="69">
        <f>VLOOKUP($A$6,Data!$P$2:$AC$20,VLOOKUP(A40,Data!$B$63:$C$74,2,)+2,)</f>
        <v>7.15</v>
      </c>
      <c r="H40" s="70">
        <f t="shared" si="4"/>
        <v>4.29</v>
      </c>
      <c r="I40" s="70">
        <f t="shared" si="5"/>
        <v>2.6598</v>
      </c>
      <c r="J40" s="71">
        <f>IF((AND($A$16=2,(OR(VLOOKUP(A40,Data!$B$63:$C$74,2,)&gt;=11,VLOOKUP(A40,Data!$B$63:$C$74,2,)&lt;=2)))),0,ROUND(I40*$H$25,0))</f>
        <v>532</v>
      </c>
      <c r="K40" s="71">
        <f t="shared" si="6"/>
        <v>424</v>
      </c>
      <c r="L40" s="71">
        <f t="shared" si="7"/>
        <v>0</v>
      </c>
      <c r="M40" s="75">
        <f t="shared" si="8"/>
        <v>108</v>
      </c>
      <c r="N40" s="76">
        <f aca="true" t="shared" si="11" ref="N40:N45">IF(M40=0,0,IF(O39&lt;0,IF(O40&lt;0,IF(E40&gt;$A$11,$A$11,E40),M40),IF(O40&lt;0,IF(O39+E40&gt;$A$11,$A$11,O39+E40),M40)))</f>
        <v>108</v>
      </c>
      <c r="O40" s="89">
        <f t="shared" si="9"/>
        <v>92</v>
      </c>
      <c r="P40" s="99">
        <f t="shared" si="10"/>
      </c>
    </row>
    <row r="41" spans="1:16" ht="13.5" customHeight="1">
      <c r="A41" s="42" t="str">
        <f>VLOOKUP(IF((VLOOKUP(A40,Data!$B$63:$C$74,2,)+1)&gt;12,1,VLOOKUP(A40,Data!$B$63:$C$74,2,)+1),Data!$A$63:$B$74,2,)</f>
        <v>July</v>
      </c>
      <c r="B41" s="69">
        <f>VLOOKUP($A$6,Data!$A$2:$N$20,VLOOKUP(A41,Data!$B$63:$C$74,2,)+2,)</f>
        <v>2.03</v>
      </c>
      <c r="C41" s="70">
        <f t="shared" si="0"/>
        <v>1.2586</v>
      </c>
      <c r="D41" s="71">
        <f t="shared" si="1"/>
        <v>402.75199999999995</v>
      </c>
      <c r="E41" s="71">
        <f t="shared" si="2"/>
        <v>383</v>
      </c>
      <c r="F41" s="97" t="str">
        <f t="shared" si="3"/>
        <v>Supply &gt; tank capacity.</v>
      </c>
      <c r="G41" s="69">
        <f>VLOOKUP($A$6,Data!$P$2:$AC$20,VLOOKUP(A41,Data!$B$63:$C$74,2,)+2,)</f>
        <v>7.22</v>
      </c>
      <c r="H41" s="70">
        <f t="shared" si="4"/>
        <v>4.332</v>
      </c>
      <c r="I41" s="70">
        <f t="shared" si="5"/>
        <v>2.68584</v>
      </c>
      <c r="J41" s="71">
        <f>IF((AND($A$16=2,(OR(VLOOKUP(A41,Data!$B$63:$C$74,2,)&gt;=11,VLOOKUP(A41,Data!$B$63:$C$74,2,)&lt;=2)))),0,ROUND(I41*$H$25,0))</f>
        <v>537</v>
      </c>
      <c r="K41" s="71">
        <f t="shared" si="6"/>
        <v>252</v>
      </c>
      <c r="L41" s="71">
        <f t="shared" si="7"/>
        <v>0</v>
      </c>
      <c r="M41" s="75">
        <f t="shared" si="8"/>
        <v>285</v>
      </c>
      <c r="N41" s="76">
        <f t="shared" si="11"/>
        <v>200</v>
      </c>
      <c r="O41" s="89">
        <f t="shared" si="9"/>
        <v>-85</v>
      </c>
      <c r="P41" s="99" t="str">
        <f t="shared" si="10"/>
        <v>Demand &gt; supply.</v>
      </c>
    </row>
    <row r="42" spans="1:16" ht="13.5" customHeight="1">
      <c r="A42" s="42" t="str">
        <f>VLOOKUP(IF((VLOOKUP(A41,Data!$B$63:$C$74,2,)+1)&gt;12,1,VLOOKUP(A41,Data!$B$63:$C$74,2,)+1),Data!$A$63:$B$74,2,)</f>
        <v>August</v>
      </c>
      <c r="B42" s="69">
        <f>VLOOKUP($A$6,Data!$A$2:$N$20,VLOOKUP(A42,Data!$B$63:$C$74,2,)+2,)</f>
        <v>2.51</v>
      </c>
      <c r="C42" s="70">
        <f t="shared" si="0"/>
        <v>1.5561999999999998</v>
      </c>
      <c r="D42" s="71">
        <f t="shared" si="1"/>
        <v>497.9839999999999</v>
      </c>
      <c r="E42" s="71">
        <f t="shared" si="2"/>
        <v>473</v>
      </c>
      <c r="F42" s="97" t="str">
        <f t="shared" si="3"/>
        <v>Supply &gt; tank capacity.</v>
      </c>
      <c r="G42" s="69">
        <f>VLOOKUP($A$6,Data!$P$2:$AC$20,VLOOKUP(A42,Data!$B$63:$C$74,2,)+2,)</f>
        <v>7.25</v>
      </c>
      <c r="H42" s="70">
        <f t="shared" si="4"/>
        <v>4.35</v>
      </c>
      <c r="I42" s="70">
        <f t="shared" si="5"/>
        <v>2.6969999999999996</v>
      </c>
      <c r="J42" s="71">
        <f>IF((AND($A$16=2,(OR(VLOOKUP(A42,Data!$B$63:$C$74,2,)&gt;=11,VLOOKUP(A42,Data!$B$63:$C$74,2,)&lt;=2)))),0,ROUND(I42*$H$25,0))</f>
        <v>539</v>
      </c>
      <c r="K42" s="71">
        <f t="shared" si="6"/>
        <v>311</v>
      </c>
      <c r="L42" s="71">
        <f t="shared" si="7"/>
        <v>0</v>
      </c>
      <c r="M42" s="75">
        <f t="shared" si="8"/>
        <v>228</v>
      </c>
      <c r="N42" s="76">
        <f t="shared" si="11"/>
        <v>200</v>
      </c>
      <c r="O42" s="89">
        <f t="shared" si="9"/>
        <v>-28</v>
      </c>
      <c r="P42" s="99" t="str">
        <f t="shared" si="10"/>
        <v>Demand &gt; supply.</v>
      </c>
    </row>
    <row r="43" spans="1:16" ht="13.5" customHeight="1">
      <c r="A43" s="42" t="str">
        <f>VLOOKUP(IF((VLOOKUP(A42,Data!$B$63:$C$74,2,)+1)&gt;12,1,VLOOKUP(A42,Data!$B$63:$C$74,2,)+1),Data!$A$63:$B$74,2,)</f>
        <v>September</v>
      </c>
      <c r="B43" s="69">
        <f>VLOOKUP($A$6,Data!$A$2:$N$20,VLOOKUP(A43,Data!$B$63:$C$74,2,)+2,)</f>
        <v>2.88</v>
      </c>
      <c r="C43" s="70">
        <f t="shared" si="0"/>
        <v>1.7855999999999999</v>
      </c>
      <c r="D43" s="71">
        <f t="shared" si="1"/>
        <v>571.3919999999999</v>
      </c>
      <c r="E43" s="71">
        <f t="shared" si="2"/>
        <v>543</v>
      </c>
      <c r="F43" s="97" t="str">
        <f t="shared" si="3"/>
        <v>Supply &gt; tank capacity.</v>
      </c>
      <c r="G43" s="69">
        <f>VLOOKUP($A$6,Data!$P$2:$AC$20,VLOOKUP(A43,Data!$B$63:$C$74,2,)+2,)</f>
        <v>5.57</v>
      </c>
      <c r="H43" s="70">
        <f t="shared" si="4"/>
        <v>3.342</v>
      </c>
      <c r="I43" s="70">
        <f t="shared" si="5"/>
        <v>2.07204</v>
      </c>
      <c r="J43" s="71">
        <f>IF((AND($A$16=2,(OR(VLOOKUP(A43,Data!$B$63:$C$74,2,)&gt;=11,VLOOKUP(A43,Data!$B$63:$C$74,2,)&lt;=2)))),0,ROUND(I43*$H$25,0))</f>
        <v>414</v>
      </c>
      <c r="K43" s="71">
        <f t="shared" si="6"/>
        <v>357</v>
      </c>
      <c r="L43" s="71">
        <f t="shared" si="7"/>
        <v>0</v>
      </c>
      <c r="M43" s="75">
        <f t="shared" si="8"/>
        <v>57</v>
      </c>
      <c r="N43" s="76">
        <f t="shared" si="11"/>
        <v>57</v>
      </c>
      <c r="O43" s="89">
        <f t="shared" si="9"/>
        <v>143</v>
      </c>
      <c r="P43" s="99">
        <f t="shared" si="10"/>
      </c>
    </row>
    <row r="44" spans="1:16" ht="13.5" customHeight="1">
      <c r="A44" s="42" t="str">
        <f>VLOOKUP(IF((VLOOKUP(A43,Data!$B$63:$C$74,2,)+1)&gt;12,1,VLOOKUP(A43,Data!$B$63:$C$74,2,)+1),Data!$A$63:$B$74,2,)</f>
        <v>October</v>
      </c>
      <c r="B44" s="69">
        <f>VLOOKUP($A$6,Data!$A$2:$N$20,VLOOKUP(A44,Data!$B$63:$C$74,2,)+2,)</f>
        <v>3.99</v>
      </c>
      <c r="C44" s="70">
        <f t="shared" si="0"/>
        <v>2.4738</v>
      </c>
      <c r="D44" s="71">
        <f t="shared" si="1"/>
        <v>791.6160000000001</v>
      </c>
      <c r="E44" s="71">
        <f t="shared" si="2"/>
        <v>752</v>
      </c>
      <c r="F44" s="97" t="str">
        <f t="shared" si="3"/>
        <v>Supply &gt; tank capacity.</v>
      </c>
      <c r="G44" s="69">
        <f>VLOOKUP($A$6,Data!$P$2:$AC$20,VLOOKUP(A44,Data!$B$63:$C$74,2,)+2,)</f>
        <v>4.38</v>
      </c>
      <c r="H44" s="70">
        <f t="shared" si="4"/>
        <v>2.6279999999999997</v>
      </c>
      <c r="I44" s="70">
        <f t="shared" si="5"/>
        <v>1.6293599999999997</v>
      </c>
      <c r="J44" s="71">
        <f>IF((AND($A$16=2,(OR(VLOOKUP(A44,Data!$B$63:$C$74,2,)&gt;=11,VLOOKUP(A44,Data!$B$63:$C$74,2,)&lt;=2)))),0,ROUND(I44*$H$25,0))</f>
        <v>326</v>
      </c>
      <c r="K44" s="71">
        <f t="shared" si="6"/>
        <v>495</v>
      </c>
      <c r="L44" s="71">
        <f t="shared" si="7"/>
        <v>0</v>
      </c>
      <c r="M44" s="75">
        <f t="shared" si="8"/>
        <v>0</v>
      </c>
      <c r="N44" s="76">
        <f t="shared" si="11"/>
        <v>0</v>
      </c>
      <c r="O44" s="89">
        <f t="shared" si="9"/>
        <v>200</v>
      </c>
      <c r="P44" s="99">
        <f t="shared" si="10"/>
      </c>
    </row>
    <row r="45" spans="1:16" ht="13.5" customHeight="1">
      <c r="A45" s="80" t="str">
        <f>VLOOKUP(IF((VLOOKUP(A44,Data!$B$63:$C$74,2,)+1)&gt;12,1,VLOOKUP(A44,Data!$B$63:$C$74,2,)+1),Data!$A$63:$B$74,2,)</f>
        <v>November</v>
      </c>
      <c r="B45" s="72">
        <f>VLOOKUP($A$6,Data!$A$2:$N$20,VLOOKUP(A45,Data!$B$63:$C$74,2,)+2,)</f>
        <v>3.02</v>
      </c>
      <c r="C45" s="73">
        <f t="shared" si="0"/>
        <v>1.8724</v>
      </c>
      <c r="D45" s="74">
        <f t="shared" si="1"/>
        <v>599.168</v>
      </c>
      <c r="E45" s="74">
        <f t="shared" si="2"/>
        <v>569</v>
      </c>
      <c r="F45" s="98" t="str">
        <f t="shared" si="3"/>
        <v>Supply &gt; tank capacity.</v>
      </c>
      <c r="G45" s="72">
        <f>VLOOKUP($A$6,Data!$P$2:$AC$20,VLOOKUP(A45,Data!$B$63:$C$74,2,)+2,)</f>
        <v>2.74</v>
      </c>
      <c r="H45" s="73">
        <f t="shared" si="4"/>
        <v>1.6440000000000001</v>
      </c>
      <c r="I45" s="73">
        <f t="shared" si="5"/>
        <v>1.01928</v>
      </c>
      <c r="J45" s="74">
        <f>IF((AND($A$16=2,(OR(VLOOKUP(A45,Data!$B$63:$C$74,2,)&gt;=11,VLOOKUP(A45,Data!$B$63:$C$74,2,)&lt;=2)))),0,ROUND(I45*$H$25,0))</f>
        <v>0</v>
      </c>
      <c r="K45" s="74">
        <f t="shared" si="6"/>
        <v>374</v>
      </c>
      <c r="L45" s="74">
        <f t="shared" si="7"/>
        <v>0</v>
      </c>
      <c r="M45" s="75">
        <f t="shared" si="8"/>
        <v>0</v>
      </c>
      <c r="N45" s="77">
        <f t="shared" si="11"/>
        <v>0</v>
      </c>
      <c r="O45" s="90">
        <f t="shared" si="9"/>
        <v>200</v>
      </c>
      <c r="P45" s="100">
        <f t="shared" si="10"/>
      </c>
    </row>
    <row r="46" spans="1:15" s="44" customFormat="1" ht="18" customHeight="1">
      <c r="A46" s="43" t="s">
        <v>110</v>
      </c>
      <c r="B46" s="78">
        <f>SUM(B34:B45)</f>
        <v>34.72</v>
      </c>
      <c r="E46" s="63">
        <f>SUM(E34:E45)</f>
        <v>6546</v>
      </c>
      <c r="G46" s="78">
        <f>SUM(G34:G45)</f>
        <v>57.510000000000005</v>
      </c>
      <c r="H46" s="62">
        <f>SUM(H34:H45)</f>
        <v>34.50599999999999</v>
      </c>
      <c r="M46" s="79">
        <f>SUM(M34:M45)</f>
        <v>774</v>
      </c>
      <c r="N46" s="63">
        <f>SUM(N34:N45)</f>
        <v>661</v>
      </c>
      <c r="O46" s="63"/>
    </row>
    <row r="47" spans="1:14" s="47" customFormat="1" ht="13.5" customHeight="1">
      <c r="A47" s="45"/>
      <c r="B47" s="46"/>
      <c r="E47" s="48"/>
      <c r="G47" s="46"/>
      <c r="H47" s="46"/>
      <c r="M47" s="48"/>
      <c r="N47" s="48"/>
    </row>
    <row r="48" spans="1:14" s="47" customFormat="1" ht="13.5" customHeight="1">
      <c r="A48" s="45"/>
      <c r="B48" s="46"/>
      <c r="E48" s="48"/>
      <c r="G48" s="46"/>
      <c r="H48" s="46"/>
      <c r="M48" s="48"/>
      <c r="N48" s="48"/>
    </row>
    <row r="49" spans="1:15" s="47" customFormat="1" ht="13.5" customHeight="1">
      <c r="A49" s="45"/>
      <c r="B49" s="46"/>
      <c r="E49" s="48"/>
      <c r="G49" s="46"/>
      <c r="H49" s="46"/>
      <c r="M49" s="66"/>
      <c r="N49" s="66"/>
      <c r="O49" s="67"/>
    </row>
    <row r="50" spans="1:14" s="47" customFormat="1" ht="13.5" customHeight="1">
      <c r="A50" s="45"/>
      <c r="B50" s="46"/>
      <c r="E50" s="48"/>
      <c r="G50" s="46"/>
      <c r="H50" s="46"/>
      <c r="M50" s="48"/>
      <c r="N50" s="48"/>
    </row>
    <row r="51" s="44" customFormat="1" ht="15.75" customHeight="1">
      <c r="A51" s="85" t="s">
        <v>91</v>
      </c>
    </row>
    <row r="52" spans="1:8" s="44" customFormat="1" ht="15.75" customHeight="1">
      <c r="A52" s="49" t="s">
        <v>90</v>
      </c>
      <c r="B52" s="51"/>
      <c r="C52" s="50"/>
      <c r="D52" s="58"/>
      <c r="E52" s="58"/>
      <c r="F52" s="58"/>
      <c r="G52" s="58"/>
      <c r="H52" s="58"/>
    </row>
    <row r="53" spans="1:16" s="44" customFormat="1" ht="49.5" customHeight="1">
      <c r="A53" s="40">
        <v>2</v>
      </c>
      <c r="B53" s="125" t="s">
        <v>125</v>
      </c>
      <c r="C53" s="125"/>
      <c r="D53" s="125"/>
      <c r="E53" s="125"/>
      <c r="F53" s="125"/>
      <c r="G53" s="125"/>
      <c r="H53" s="125"/>
      <c r="I53" s="125"/>
      <c r="J53" s="125"/>
      <c r="K53" s="125"/>
      <c r="L53" s="125"/>
      <c r="M53" s="125"/>
      <c r="N53" s="125"/>
      <c r="O53" s="125"/>
      <c r="P53" s="126"/>
    </row>
    <row r="54" spans="1:9" s="44" customFormat="1" ht="18" customHeight="1" thickBot="1">
      <c r="A54" s="42"/>
      <c r="B54" s="109" t="s">
        <v>119</v>
      </c>
      <c r="C54" s="110"/>
      <c r="D54" s="110"/>
      <c r="E54" s="110"/>
      <c r="F54" s="110"/>
      <c r="G54" s="59">
        <f>$H$22/100*$A$53</f>
        <v>6.4</v>
      </c>
      <c r="H54" s="60"/>
      <c r="I54" s="60"/>
    </row>
    <row r="55" spans="1:16" s="44" customFormat="1" ht="18" customHeight="1" thickTop="1">
      <c r="A55" s="42"/>
      <c r="B55" s="109" t="s">
        <v>81</v>
      </c>
      <c r="C55" s="110"/>
      <c r="D55" s="110"/>
      <c r="E55" s="110"/>
      <c r="F55" s="110"/>
      <c r="G55" s="59">
        <f>($G$54/7.481)/(PI()*(2/12)^2)</f>
        <v>9.803314767644082</v>
      </c>
      <c r="H55" s="60"/>
      <c r="I55" s="127" t="s">
        <v>102</v>
      </c>
      <c r="J55" s="128"/>
      <c r="K55" s="128"/>
      <c r="L55" s="128"/>
      <c r="M55" s="128"/>
      <c r="N55" s="128"/>
      <c r="O55" s="128"/>
      <c r="P55" s="129"/>
    </row>
    <row r="56" spans="1:16" s="44" customFormat="1" ht="18" customHeight="1">
      <c r="A56" s="42"/>
      <c r="B56" s="109" t="s">
        <v>80</v>
      </c>
      <c r="C56" s="110"/>
      <c r="D56" s="110"/>
      <c r="E56" s="110"/>
      <c r="F56" s="110"/>
      <c r="G56" s="59">
        <f>($G$54/7.481)/(PI()*(3/12)^2)</f>
        <v>4.357028785619592</v>
      </c>
      <c r="H56" s="60"/>
      <c r="I56" s="130"/>
      <c r="J56" s="131"/>
      <c r="K56" s="131"/>
      <c r="L56" s="131"/>
      <c r="M56" s="131"/>
      <c r="N56" s="131"/>
      <c r="O56" s="131"/>
      <c r="P56" s="132"/>
    </row>
    <row r="57" spans="1:16" s="44" customFormat="1" ht="18" customHeight="1" thickBot="1">
      <c r="A57" s="42"/>
      <c r="B57" s="109" t="s">
        <v>79</v>
      </c>
      <c r="C57" s="110"/>
      <c r="D57" s="110"/>
      <c r="E57" s="110"/>
      <c r="F57" s="110"/>
      <c r="G57" s="59">
        <f>($G$54/7.481)/(PI()*(4/12)^2)</f>
        <v>2.4508286919110205</v>
      </c>
      <c r="H57" s="60"/>
      <c r="I57" s="114" t="s">
        <v>93</v>
      </c>
      <c r="J57" s="115"/>
      <c r="K57" s="115"/>
      <c r="L57" s="115"/>
      <c r="M57" s="115"/>
      <c r="N57" s="115"/>
      <c r="O57" s="115"/>
      <c r="P57" s="116"/>
    </row>
    <row r="58" spans="1:8" s="44" customFormat="1" ht="18" customHeight="1" thickTop="1">
      <c r="A58" s="42"/>
      <c r="B58" s="122" t="s">
        <v>130</v>
      </c>
      <c r="C58" s="123"/>
      <c r="D58" s="123"/>
      <c r="E58" s="123"/>
      <c r="F58" s="123"/>
      <c r="G58" s="124"/>
      <c r="H58" s="60"/>
    </row>
    <row r="59" spans="1:9" s="44" customFormat="1" ht="13.5" customHeight="1">
      <c r="A59" s="42"/>
      <c r="B59" s="61"/>
      <c r="C59" s="61"/>
      <c r="D59" s="61"/>
      <c r="E59" s="61"/>
      <c r="F59" s="61"/>
      <c r="G59" s="61"/>
      <c r="H59" s="60"/>
      <c r="I59" s="42"/>
    </row>
    <row r="60" spans="1:9" s="44" customFormat="1" ht="13.5" customHeight="1">
      <c r="A60" s="42"/>
      <c r="B60" s="61"/>
      <c r="C60" s="61"/>
      <c r="D60" s="61"/>
      <c r="E60" s="61"/>
      <c r="F60" s="61"/>
      <c r="G60" s="61"/>
      <c r="H60" s="60"/>
      <c r="I60" s="60"/>
    </row>
    <row r="61" spans="1:7" s="44" customFormat="1" ht="15.75" customHeight="1">
      <c r="A61" s="49" t="s">
        <v>132</v>
      </c>
      <c r="B61" s="51"/>
      <c r="C61" s="50"/>
      <c r="D61" s="50"/>
      <c r="E61" s="50"/>
      <c r="F61" s="50"/>
      <c r="G61" s="50"/>
    </row>
    <row r="62" spans="1:9" ht="18" customHeight="1">
      <c r="A62" s="40">
        <v>1.25</v>
      </c>
      <c r="B62" s="117" t="s">
        <v>101</v>
      </c>
      <c r="C62" s="117"/>
      <c r="D62" s="117"/>
      <c r="E62" s="117"/>
      <c r="F62" s="117"/>
      <c r="G62" s="117"/>
      <c r="H62" s="117"/>
      <c r="I62" s="118"/>
    </row>
    <row r="63" spans="2:9" ht="30" customHeight="1">
      <c r="B63" s="119" t="str">
        <f>"That amount of rainfall added approximately  "&amp;TEXT($A$62*0.62*$H$22*$H$23,"#,###")&amp;"  gallons to your collection tank (not considering any first-flush diversion or the tank capacity)."</f>
        <v>That amount of rainfall added approximately  236  gallons to your collection tank (not considering any first-flush diversion or the tank capacity).</v>
      </c>
      <c r="C63" s="120"/>
      <c r="D63" s="120"/>
      <c r="E63" s="120"/>
      <c r="F63" s="120"/>
      <c r="G63" s="120"/>
      <c r="H63" s="120"/>
      <c r="I63" s="121"/>
    </row>
    <row r="64" spans="2:9" ht="13.5" customHeight="1">
      <c r="B64" s="87"/>
      <c r="C64" s="87"/>
      <c r="D64" s="87"/>
      <c r="E64" s="87"/>
      <c r="F64" s="87"/>
      <c r="G64" s="87"/>
      <c r="H64" s="87"/>
      <c r="I64" s="87"/>
    </row>
    <row r="65" spans="2:9" ht="13.5" customHeight="1">
      <c r="B65" s="87"/>
      <c r="C65" s="87"/>
      <c r="D65" s="87"/>
      <c r="E65" s="87"/>
      <c r="F65" s="87"/>
      <c r="G65" s="87"/>
      <c r="H65" s="87"/>
      <c r="I65" s="87"/>
    </row>
    <row r="66" spans="1:7" s="44" customFormat="1" ht="15.75" customHeight="1">
      <c r="A66" s="49" t="s">
        <v>111</v>
      </c>
      <c r="B66" s="51"/>
      <c r="C66" s="50"/>
      <c r="D66" s="50"/>
      <c r="E66" s="50"/>
      <c r="F66" s="50"/>
      <c r="G66" s="50"/>
    </row>
    <row r="67" spans="1:9" ht="45" customHeight="1">
      <c r="A67" s="91">
        <v>2.78</v>
      </c>
      <c r="B67" s="125" t="s">
        <v>126</v>
      </c>
      <c r="C67" s="125"/>
      <c r="D67" s="125"/>
      <c r="E67" s="125"/>
      <c r="F67" s="125"/>
      <c r="G67" s="125"/>
      <c r="H67" s="125"/>
      <c r="I67" s="126"/>
    </row>
    <row r="68" spans="1:9" ht="30" customHeight="1">
      <c r="A68" s="40">
        <v>1</v>
      </c>
      <c r="B68" s="125" t="s">
        <v>131</v>
      </c>
      <c r="C68" s="125"/>
      <c r="D68" s="125"/>
      <c r="E68" s="125"/>
      <c r="F68" s="125"/>
      <c r="G68" s="125"/>
      <c r="H68" s="125"/>
      <c r="I68" s="126"/>
    </row>
    <row r="69" spans="1:13" ht="45" customHeight="1">
      <c r="A69" s="91">
        <v>0</v>
      </c>
      <c r="B69" s="125" t="str">
        <f>IF($A$16=1,IF($A$68=1,"Enter the service rate you pay per 1,000 gallons of wastewater ($/1,000 gallons).   NOTE: You may not realize 100% of these savings from using rainwater since your utility uses Wastewater Averaging.
[The '$' is added automatically to the input cell]","Enter the service rate you pay per 1,000 gallons of wastewater ($/1,000 gallons).
[The '$' is added automatically to the input cell]"),IF($A$68=1,"You will not realize any savings on your wastewater charges from using rainwater since your utility uses Wastewater Averaging and you do not plan to irrigate in winter.  Enter zero.","Enter the service rate you pay per 1,000 gallons of wastewater ($/1,000 gallons).
[The '$' is added automatically to the input cell]"))</f>
        <v>You will not realize any savings on your wastewater charges from using rainwater since your utility uses Wastewater Averaging and you do not plan to irrigate in winter.  Enter zero.</v>
      </c>
      <c r="C69" s="125"/>
      <c r="D69" s="125"/>
      <c r="E69" s="125"/>
      <c r="F69" s="125"/>
      <c r="G69" s="125"/>
      <c r="H69" s="125"/>
      <c r="I69" s="126"/>
      <c r="L69" s="93"/>
      <c r="M69" s="93"/>
    </row>
    <row r="70" spans="2:9" ht="19.5" customHeight="1">
      <c r="B70" s="119" t="str">
        <f>"Based on using "&amp;TEXT($N$46,"#,###")&amp;" gallons of rainwater, the cost savings would be approximately  $"&amp;TEXT(($A$67+$A$69)*$N$46/1000,"#,###.00")&amp;"  in one year."</f>
        <v>Based on using 661 gallons of rainwater, the cost savings would be approximately  $1.84  in one year.</v>
      </c>
      <c r="C70" s="120"/>
      <c r="D70" s="120"/>
      <c r="E70" s="120"/>
      <c r="F70" s="120"/>
      <c r="G70" s="120"/>
      <c r="H70" s="120"/>
      <c r="I70" s="121"/>
    </row>
    <row r="71" spans="2:12" ht="13.5" customHeight="1">
      <c r="B71" s="87"/>
      <c r="C71" s="87"/>
      <c r="D71" s="87"/>
      <c r="E71" s="87"/>
      <c r="F71" s="87"/>
      <c r="G71" s="87"/>
      <c r="H71" s="87"/>
      <c r="I71" s="87"/>
      <c r="L71" s="88"/>
    </row>
    <row r="72" spans="2:9" ht="13.5" customHeight="1">
      <c r="B72" s="87"/>
      <c r="C72" s="87"/>
      <c r="D72" s="87"/>
      <c r="E72" s="87"/>
      <c r="F72" s="87"/>
      <c r="G72" s="87"/>
      <c r="H72" s="87"/>
      <c r="I72" s="87"/>
    </row>
    <row r="73" ht="13.5" customHeight="1"/>
    <row r="74" spans="1:16" ht="30" customHeight="1">
      <c r="A74" s="111" t="s">
        <v>92</v>
      </c>
      <c r="B74" s="112"/>
      <c r="C74" s="112"/>
      <c r="D74" s="112"/>
      <c r="E74" s="112"/>
      <c r="F74" s="112"/>
      <c r="G74" s="112"/>
      <c r="H74" s="112"/>
      <c r="I74" s="112"/>
      <c r="J74" s="112"/>
      <c r="K74" s="112"/>
      <c r="L74" s="112"/>
      <c r="M74" s="112"/>
      <c r="N74" s="112"/>
      <c r="O74" s="112"/>
      <c r="P74" s="113"/>
    </row>
    <row r="75" ht="12.75">
      <c r="A75" s="36"/>
    </row>
  </sheetData>
  <sheetProtection password="D24B" sheet="1" objects="1" scenarios="1"/>
  <mergeCells count="37">
    <mergeCell ref="B17:P17"/>
    <mergeCell ref="B6:P6"/>
    <mergeCell ref="B7:P7"/>
    <mergeCell ref="B8:P8"/>
    <mergeCell ref="B9:P9"/>
    <mergeCell ref="B10:P10"/>
    <mergeCell ref="B11:P11"/>
    <mergeCell ref="B12:P12"/>
    <mergeCell ref="B13:P13"/>
    <mergeCell ref="B14:P14"/>
    <mergeCell ref="B15:P15"/>
    <mergeCell ref="B16:P16"/>
    <mergeCell ref="B18:P18"/>
    <mergeCell ref="B19:P19"/>
    <mergeCell ref="B32:F32"/>
    <mergeCell ref="G32:M32"/>
    <mergeCell ref="B53:P53"/>
    <mergeCell ref="N32:P32"/>
    <mergeCell ref="A26:H26"/>
    <mergeCell ref="A22:G22"/>
    <mergeCell ref="A23:G23"/>
    <mergeCell ref="A24:G24"/>
    <mergeCell ref="A25:G25"/>
    <mergeCell ref="B54:F54"/>
    <mergeCell ref="A74:P74"/>
    <mergeCell ref="I57:P57"/>
    <mergeCell ref="B62:I62"/>
    <mergeCell ref="B63:I63"/>
    <mergeCell ref="B55:F55"/>
    <mergeCell ref="B56:F56"/>
    <mergeCell ref="B57:F57"/>
    <mergeCell ref="B58:G58"/>
    <mergeCell ref="B67:I67"/>
    <mergeCell ref="B70:I70"/>
    <mergeCell ref="B69:I69"/>
    <mergeCell ref="I55:P56"/>
    <mergeCell ref="B68:I68"/>
  </mergeCells>
  <dataValidations count="8">
    <dataValidation type="whole" showInputMessage="1" showErrorMessage="1" errorTitle="City" error="The number you have entered in not valid.  Please enter a number from 1 to 19." sqref="A6">
      <formula1>1</formula1>
      <formula2>19</formula2>
    </dataValidation>
    <dataValidation type="whole" showInputMessage="1" showErrorMessage="1" errorTitle="Month" error="The value you have entered is not valid.  Please enter a value between 1 and 12." sqref="A18">
      <formula1>1</formula1>
      <formula2>12</formula2>
    </dataValidation>
    <dataValidation type="whole" showInputMessage="1" showErrorMessage="1" errorTitle="Surface" error="The number you have entered in not valid.  Please enter a number from 1 to 7." sqref="A10">
      <formula1>1</formula1>
      <formula2>7</formula2>
    </dataValidation>
    <dataValidation type="whole" allowBlank="1" showInputMessage="1" showErrorMessage="1" errorTitle="Plants" error="The number you have entered in not valid.  Please enter a number from 1 to 5." sqref="A15">
      <formula1>1</formula1>
      <formula2>5</formula2>
    </dataValidation>
    <dataValidation type="whole" showInputMessage="1" showErrorMessage="1" errorTitle="Winter" error="The number you have entered in not valid.  Please enter either 1 or 2." sqref="A16">
      <formula1>1</formula1>
      <formula2>2</formula2>
    </dataValidation>
    <dataValidation type="whole" operator="greaterThanOrEqual" allowBlank="1" showInputMessage="1" showErrorMessage="1" errorTitle="Negative Storage" error="You cannot enter a negative storage value." sqref="A19">
      <formula1>0</formula1>
    </dataValidation>
    <dataValidation type="whole" allowBlank="1" showInputMessage="1" showErrorMessage="1" errorTitle="WW Ave" error="Enter either 1 for &quot;Yes&quot; or 2 for &quot;No.&quot;" sqref="A68">
      <formula1>1</formula1>
      <formula2>2</formula2>
    </dataValidation>
    <dataValidation type="whole" operator="greaterThanOrEqual" allowBlank="1" showInputMessage="1" showErrorMessage="1" errorTitle="InUse" error="Please enter a whole number greater than or equal to zero." sqref="A17">
      <formula1>0</formula1>
    </dataValidation>
  </dataValidations>
  <hyperlinks>
    <hyperlink ref="I57" r:id="rId1" display="http://www.twdb.state.tx.us/publications/reports/RainwaterHarvestingManual_3rdedition.pdf"/>
    <hyperlink ref="I57:P57" r:id="rId2" display="www.twdb.state.tx.us/publications/reports/RainwaterHarvestingManual_3rdedition.pdf"/>
  </hyperlinks>
  <printOptions horizontalCentered="1"/>
  <pageMargins left="0.25" right="0.25" top="0.75" bottom="0.5" header="0.5" footer="0.3"/>
  <pageSetup fitToHeight="2" horizontalDpi="600" verticalDpi="600" orientation="landscape" scale="56" r:id="rId5"/>
  <headerFooter>
    <oddFooter>&amp;C&amp;"Tahoma,Regular"Page &amp;P of &amp;N</oddFooter>
  </headerFooter>
  <rowBreaks count="1" manualBreakCount="1">
    <brk id="46" max="14" man="1"/>
  </rowBreaks>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43">
      <selection activeCell="C31" sqref="C31"/>
    </sheetView>
  </sheetViews>
  <sheetFormatPr defaultColWidth="9.140625" defaultRowHeight="15"/>
  <cols>
    <col min="1" max="1" width="4.7109375" style="2" customWidth="1"/>
    <col min="2" max="2" width="15.57421875" style="0" bestFit="1" customWidth="1"/>
    <col min="3" max="14" width="7.7109375" style="0" customWidth="1"/>
    <col min="15" max="15" width="8.7109375" style="0" customWidth="1"/>
    <col min="16" max="16" width="4.8515625" style="0" bestFit="1" customWidth="1"/>
    <col min="17" max="17" width="14.421875" style="0" bestFit="1" customWidth="1"/>
    <col min="18" max="29" width="7.7109375" style="0" customWidth="1"/>
    <col min="30" max="30" width="8.7109375" style="0" customWidth="1"/>
  </cols>
  <sheetData>
    <row r="1" spans="1:30" s="14" customFormat="1" ht="12.75">
      <c r="A1" s="24" t="s">
        <v>57</v>
      </c>
      <c r="B1" s="8" t="s">
        <v>22</v>
      </c>
      <c r="C1" s="9" t="s">
        <v>23</v>
      </c>
      <c r="D1" s="9" t="s">
        <v>24</v>
      </c>
      <c r="E1" s="9" t="s">
        <v>25</v>
      </c>
      <c r="F1" s="9" t="s">
        <v>26</v>
      </c>
      <c r="G1" s="9" t="s">
        <v>5</v>
      </c>
      <c r="H1" s="9" t="s">
        <v>6</v>
      </c>
      <c r="I1" s="9" t="s">
        <v>7</v>
      </c>
      <c r="J1" s="9" t="s">
        <v>29</v>
      </c>
      <c r="K1" s="9" t="s">
        <v>54</v>
      </c>
      <c r="L1" s="9" t="s">
        <v>31</v>
      </c>
      <c r="M1" s="9" t="s">
        <v>32</v>
      </c>
      <c r="N1" s="9" t="s">
        <v>33</v>
      </c>
      <c r="O1" s="10" t="s">
        <v>13</v>
      </c>
      <c r="P1" s="24" t="s">
        <v>57</v>
      </c>
      <c r="Q1" s="11" t="s">
        <v>22</v>
      </c>
      <c r="R1" s="12" t="s">
        <v>23</v>
      </c>
      <c r="S1" s="12" t="s">
        <v>24</v>
      </c>
      <c r="T1" s="12" t="s">
        <v>25</v>
      </c>
      <c r="U1" s="12" t="s">
        <v>26</v>
      </c>
      <c r="V1" s="12" t="s">
        <v>5</v>
      </c>
      <c r="W1" s="12" t="s">
        <v>27</v>
      </c>
      <c r="X1" s="12" t="s">
        <v>28</v>
      </c>
      <c r="Y1" s="12" t="s">
        <v>29</v>
      </c>
      <c r="Z1" s="12" t="s">
        <v>30</v>
      </c>
      <c r="AA1" s="12" t="s">
        <v>31</v>
      </c>
      <c r="AB1" s="12" t="s">
        <v>32</v>
      </c>
      <c r="AC1" s="12" t="s">
        <v>33</v>
      </c>
      <c r="AD1" s="13" t="s">
        <v>34</v>
      </c>
    </row>
    <row r="2" spans="1:30" s="14" customFormat="1" ht="12.75">
      <c r="A2" s="7">
        <v>1</v>
      </c>
      <c r="B2" s="15" t="s">
        <v>35</v>
      </c>
      <c r="C2" s="16">
        <v>0.97</v>
      </c>
      <c r="D2" s="16">
        <v>1.13</v>
      </c>
      <c r="E2" s="16">
        <v>1.41</v>
      </c>
      <c r="F2" s="16">
        <v>1.67</v>
      </c>
      <c r="G2" s="16">
        <v>2.83</v>
      </c>
      <c r="H2" s="16">
        <v>3.06</v>
      </c>
      <c r="I2" s="16">
        <v>1.69</v>
      </c>
      <c r="J2" s="16">
        <v>2.63</v>
      </c>
      <c r="K2" s="16">
        <v>2.91</v>
      </c>
      <c r="L2" s="16">
        <v>2.9</v>
      </c>
      <c r="M2" s="16">
        <v>1.3</v>
      </c>
      <c r="N2" s="16">
        <v>1.27</v>
      </c>
      <c r="O2" s="17">
        <f>SUM(C2:N2)</f>
        <v>23.77</v>
      </c>
      <c r="P2" s="7">
        <v>1</v>
      </c>
      <c r="Q2" s="18" t="s">
        <v>35</v>
      </c>
      <c r="R2" s="6">
        <v>2.08</v>
      </c>
      <c r="S2" s="6">
        <v>2.57</v>
      </c>
      <c r="T2" s="6">
        <v>4.14</v>
      </c>
      <c r="U2" s="6">
        <v>5.48</v>
      </c>
      <c r="V2" s="6">
        <v>6.47</v>
      </c>
      <c r="W2" s="6">
        <v>7.65</v>
      </c>
      <c r="X2" s="6">
        <v>8.36</v>
      </c>
      <c r="Y2" s="6">
        <v>7.46</v>
      </c>
      <c r="Z2" s="6">
        <v>5.48</v>
      </c>
      <c r="AA2" s="6">
        <v>4.21</v>
      </c>
      <c r="AB2" s="6">
        <v>2.67</v>
      </c>
      <c r="AC2" s="6">
        <v>2.08</v>
      </c>
      <c r="AD2" s="19">
        <v>58.65</v>
      </c>
    </row>
    <row r="3" spans="1:30" s="14" customFormat="1" ht="12.75">
      <c r="A3" s="7">
        <v>2</v>
      </c>
      <c r="B3" s="15" t="s">
        <v>36</v>
      </c>
      <c r="C3" s="16">
        <v>0.63</v>
      </c>
      <c r="D3" s="16">
        <v>0.55</v>
      </c>
      <c r="E3" s="16">
        <v>1.13</v>
      </c>
      <c r="F3" s="16">
        <v>1.33</v>
      </c>
      <c r="G3" s="16">
        <v>2.5</v>
      </c>
      <c r="H3" s="16">
        <v>3.28</v>
      </c>
      <c r="I3" s="16">
        <v>2.68</v>
      </c>
      <c r="J3" s="16">
        <v>2.94</v>
      </c>
      <c r="K3" s="16">
        <v>1.88</v>
      </c>
      <c r="L3" s="16">
        <v>1.5</v>
      </c>
      <c r="M3" s="16">
        <v>0.68</v>
      </c>
      <c r="N3" s="16">
        <v>0.61</v>
      </c>
      <c r="O3" s="17">
        <f aca="true" t="shared" si="0" ref="O3:O20">SUM(C3:N3)</f>
        <v>19.709999999999997</v>
      </c>
      <c r="P3" s="7">
        <v>2</v>
      </c>
      <c r="Q3" s="18" t="s">
        <v>36</v>
      </c>
      <c r="R3" s="6">
        <v>1.84</v>
      </c>
      <c r="S3" s="6">
        <v>2.27</v>
      </c>
      <c r="T3" s="6">
        <v>3.73</v>
      </c>
      <c r="U3" s="6">
        <v>5.06</v>
      </c>
      <c r="V3" s="6">
        <v>5.89</v>
      </c>
      <c r="W3" s="6">
        <v>7.51</v>
      </c>
      <c r="X3" s="6">
        <v>8.08</v>
      </c>
      <c r="Y3" s="6">
        <v>7.29</v>
      </c>
      <c r="Z3" s="6">
        <v>5.61</v>
      </c>
      <c r="AA3" s="6">
        <v>4.05</v>
      </c>
      <c r="AB3" s="6">
        <v>2.4</v>
      </c>
      <c r="AC3" s="6">
        <v>1.78</v>
      </c>
      <c r="AD3" s="19">
        <v>55.51</v>
      </c>
    </row>
    <row r="4" spans="1:30" s="14" customFormat="1" ht="12.75">
      <c r="A4" s="7">
        <v>3</v>
      </c>
      <c r="B4" s="15" t="s">
        <v>37</v>
      </c>
      <c r="C4" s="16">
        <v>2.21</v>
      </c>
      <c r="D4" s="16">
        <v>2.02</v>
      </c>
      <c r="E4" s="16">
        <v>2.36</v>
      </c>
      <c r="F4" s="16">
        <v>2.63</v>
      </c>
      <c r="G4" s="16">
        <v>5.12</v>
      </c>
      <c r="H4" s="16">
        <v>3.42</v>
      </c>
      <c r="I4" s="16">
        <v>2.03</v>
      </c>
      <c r="J4" s="16">
        <v>2.51</v>
      </c>
      <c r="K4" s="16">
        <v>2.88</v>
      </c>
      <c r="L4" s="16">
        <v>3.99</v>
      </c>
      <c r="M4" s="16">
        <v>3.02</v>
      </c>
      <c r="N4" s="16">
        <v>2.53</v>
      </c>
      <c r="O4" s="17">
        <f t="shared" si="0"/>
        <v>34.72</v>
      </c>
      <c r="P4" s="7">
        <v>3</v>
      </c>
      <c r="Q4" s="18" t="s">
        <v>37</v>
      </c>
      <c r="R4" s="6">
        <v>2.27</v>
      </c>
      <c r="S4" s="6">
        <v>2.72</v>
      </c>
      <c r="T4" s="6">
        <v>4.34</v>
      </c>
      <c r="U4" s="6">
        <v>5.27</v>
      </c>
      <c r="V4" s="6">
        <v>6.39</v>
      </c>
      <c r="W4" s="6">
        <v>7.15</v>
      </c>
      <c r="X4" s="6">
        <v>7.22</v>
      </c>
      <c r="Y4" s="6">
        <v>7.25</v>
      </c>
      <c r="Z4" s="6">
        <v>5.57</v>
      </c>
      <c r="AA4" s="6">
        <v>4.38</v>
      </c>
      <c r="AB4" s="6">
        <v>2.74</v>
      </c>
      <c r="AC4" s="6">
        <v>2.21</v>
      </c>
      <c r="AD4" s="19">
        <v>57.51</v>
      </c>
    </row>
    <row r="5" spans="1:30" s="14" customFormat="1" ht="12.75">
      <c r="A5" s="7">
        <v>4</v>
      </c>
      <c r="B5" s="15" t="s">
        <v>38</v>
      </c>
      <c r="C5" s="16">
        <v>1.36</v>
      </c>
      <c r="D5" s="16">
        <v>1.18</v>
      </c>
      <c r="E5" s="16">
        <v>0.93</v>
      </c>
      <c r="F5" s="16">
        <v>1.96</v>
      </c>
      <c r="G5" s="16">
        <v>2.48</v>
      </c>
      <c r="H5" s="16">
        <v>2.93</v>
      </c>
      <c r="I5" s="16">
        <v>1.77</v>
      </c>
      <c r="J5" s="16">
        <v>2.99</v>
      </c>
      <c r="K5" s="16">
        <v>5.31</v>
      </c>
      <c r="L5" s="16">
        <v>3.78</v>
      </c>
      <c r="M5" s="16">
        <v>1.75</v>
      </c>
      <c r="N5" s="16">
        <v>1.11</v>
      </c>
      <c r="O5" s="17">
        <f t="shared" si="0"/>
        <v>27.55</v>
      </c>
      <c r="P5" s="7">
        <v>4</v>
      </c>
      <c r="Q5" s="18" t="s">
        <v>38</v>
      </c>
      <c r="R5" s="6">
        <v>2.65</v>
      </c>
      <c r="S5" s="6">
        <v>3.03</v>
      </c>
      <c r="T5" s="6">
        <v>4.48</v>
      </c>
      <c r="U5" s="6">
        <v>5.17</v>
      </c>
      <c r="V5" s="6">
        <v>6.03</v>
      </c>
      <c r="W5" s="6">
        <v>6.32</v>
      </c>
      <c r="X5" s="6">
        <v>6.68</v>
      </c>
      <c r="Y5" s="6">
        <v>6.65</v>
      </c>
      <c r="Z5" s="6">
        <v>5.21</v>
      </c>
      <c r="AA5" s="6">
        <v>4.34</v>
      </c>
      <c r="AB5" s="6">
        <v>3.01</v>
      </c>
      <c r="AC5" s="6">
        <v>2.59</v>
      </c>
      <c r="AD5" s="19">
        <v>56.16</v>
      </c>
    </row>
    <row r="6" spans="1:30" s="14" customFormat="1" ht="25.5">
      <c r="A6" s="7">
        <v>5</v>
      </c>
      <c r="B6" s="15" t="s">
        <v>39</v>
      </c>
      <c r="C6" s="16">
        <v>3.32</v>
      </c>
      <c r="D6" s="16">
        <v>2.38</v>
      </c>
      <c r="E6" s="16">
        <v>2.84</v>
      </c>
      <c r="F6" s="16">
        <v>3.2</v>
      </c>
      <c r="G6" s="16">
        <v>5.05</v>
      </c>
      <c r="H6" s="16">
        <v>3.79</v>
      </c>
      <c r="I6" s="16">
        <v>1.92</v>
      </c>
      <c r="J6" s="16">
        <v>2.63</v>
      </c>
      <c r="K6" s="16">
        <v>3.91</v>
      </c>
      <c r="L6" s="16">
        <v>4.22</v>
      </c>
      <c r="M6" s="16">
        <v>3.18</v>
      </c>
      <c r="N6" s="16">
        <v>3.23</v>
      </c>
      <c r="O6" s="17">
        <f t="shared" si="0"/>
        <v>39.669999999999995</v>
      </c>
      <c r="P6" s="7">
        <v>5</v>
      </c>
      <c r="Q6" s="18" t="s">
        <v>39</v>
      </c>
      <c r="R6" s="6">
        <v>2.2</v>
      </c>
      <c r="S6" s="6">
        <v>2.71</v>
      </c>
      <c r="T6" s="6">
        <v>4.22</v>
      </c>
      <c r="U6" s="6">
        <v>5.2</v>
      </c>
      <c r="V6" s="6">
        <v>6.25</v>
      </c>
      <c r="W6" s="6">
        <v>6.89</v>
      </c>
      <c r="X6" s="6">
        <v>7.1</v>
      </c>
      <c r="Y6" s="6">
        <v>6.85</v>
      </c>
      <c r="Z6" s="6">
        <v>5.6</v>
      </c>
      <c r="AA6" s="6">
        <v>4.3</v>
      </c>
      <c r="AB6" s="6">
        <v>2.8</v>
      </c>
      <c r="AC6" s="6">
        <v>2.2</v>
      </c>
      <c r="AD6" s="19">
        <v>56.32</v>
      </c>
    </row>
    <row r="7" spans="1:30" s="14" customFormat="1" ht="12.75">
      <c r="A7" s="7">
        <v>6</v>
      </c>
      <c r="B7" s="15" t="s">
        <v>40</v>
      </c>
      <c r="C7" s="16">
        <v>1.62</v>
      </c>
      <c r="D7" s="16">
        <v>1.84</v>
      </c>
      <c r="E7" s="16">
        <v>1.74</v>
      </c>
      <c r="F7" s="16">
        <v>2.05</v>
      </c>
      <c r="G7" s="16">
        <v>3.48</v>
      </c>
      <c r="H7" s="16">
        <v>3.53</v>
      </c>
      <c r="I7" s="16">
        <v>2</v>
      </c>
      <c r="J7" s="16">
        <v>3.54</v>
      </c>
      <c r="K7" s="16">
        <v>5.03</v>
      </c>
      <c r="L7" s="16">
        <v>3.94</v>
      </c>
      <c r="M7" s="16">
        <v>1.74</v>
      </c>
      <c r="N7" s="57">
        <v>1.75</v>
      </c>
      <c r="O7" s="17">
        <f>SUM(C7:N7)</f>
        <v>32.26</v>
      </c>
      <c r="P7" s="7">
        <v>6</v>
      </c>
      <c r="Q7" s="18" t="s">
        <v>40</v>
      </c>
      <c r="R7" s="6">
        <v>2.42</v>
      </c>
      <c r="S7" s="6">
        <v>2.95</v>
      </c>
      <c r="T7" s="6">
        <v>4.28</v>
      </c>
      <c r="U7" s="6">
        <v>5.17</v>
      </c>
      <c r="V7" s="6">
        <v>5.95</v>
      </c>
      <c r="W7" s="6">
        <v>6.43</v>
      </c>
      <c r="X7" s="6">
        <v>6.68</v>
      </c>
      <c r="Y7" s="6">
        <v>6.65</v>
      </c>
      <c r="Z7" s="6">
        <v>5.21</v>
      </c>
      <c r="AA7" s="6">
        <v>4.34</v>
      </c>
      <c r="AB7" s="6">
        <v>3.01</v>
      </c>
      <c r="AC7" s="6">
        <v>2.59</v>
      </c>
      <c r="AD7" s="19">
        <v>55.68</v>
      </c>
    </row>
    <row r="8" spans="1:30" s="14" customFormat="1" ht="25.5">
      <c r="A8" s="7">
        <v>7</v>
      </c>
      <c r="B8" s="15" t="s">
        <v>55</v>
      </c>
      <c r="C8" s="16">
        <v>1.9</v>
      </c>
      <c r="D8" s="16">
        <v>2.37</v>
      </c>
      <c r="E8" s="16">
        <v>3.06</v>
      </c>
      <c r="F8" s="16">
        <v>3.2</v>
      </c>
      <c r="G8" s="16">
        <v>5.15</v>
      </c>
      <c r="H8" s="16">
        <v>3.23</v>
      </c>
      <c r="I8" s="16">
        <v>2.12</v>
      </c>
      <c r="J8" s="16">
        <v>2.03</v>
      </c>
      <c r="K8" s="16">
        <v>2.42</v>
      </c>
      <c r="L8" s="16">
        <v>4.11</v>
      </c>
      <c r="M8" s="16">
        <v>2.57</v>
      </c>
      <c r="N8" s="16">
        <v>2.57</v>
      </c>
      <c r="O8" s="17">
        <f t="shared" si="0"/>
        <v>34.730000000000004</v>
      </c>
      <c r="P8" s="7">
        <v>7</v>
      </c>
      <c r="Q8" s="18" t="s">
        <v>41</v>
      </c>
      <c r="R8" s="6">
        <v>2</v>
      </c>
      <c r="S8" s="6">
        <v>2.46</v>
      </c>
      <c r="T8" s="6">
        <v>3.96</v>
      </c>
      <c r="U8" s="6">
        <v>5.14</v>
      </c>
      <c r="V8" s="6">
        <v>6.21</v>
      </c>
      <c r="W8" s="6">
        <v>7.06</v>
      </c>
      <c r="X8" s="6">
        <v>7.4</v>
      </c>
      <c r="Y8" s="6">
        <v>7.25</v>
      </c>
      <c r="Z8" s="6">
        <v>5.49</v>
      </c>
      <c r="AA8" s="6">
        <v>4.19</v>
      </c>
      <c r="AB8" s="6">
        <v>2.59</v>
      </c>
      <c r="AC8" s="6">
        <v>2.1</v>
      </c>
      <c r="AD8" s="19">
        <v>55.85</v>
      </c>
    </row>
    <row r="9" spans="1:30" s="14" customFormat="1" ht="12.75">
      <c r="A9" s="7">
        <v>8</v>
      </c>
      <c r="B9" s="15" t="s">
        <v>42</v>
      </c>
      <c r="C9" s="16">
        <v>0.57</v>
      </c>
      <c r="D9" s="16">
        <v>0.96</v>
      </c>
      <c r="E9" s="16">
        <v>0.96</v>
      </c>
      <c r="F9" s="16">
        <v>1.71</v>
      </c>
      <c r="G9" s="16">
        <v>2.31</v>
      </c>
      <c r="H9" s="16">
        <v>2.34</v>
      </c>
      <c r="I9" s="16">
        <v>2.02</v>
      </c>
      <c r="J9" s="16">
        <v>2.16</v>
      </c>
      <c r="K9" s="16">
        <v>2.06</v>
      </c>
      <c r="L9" s="16">
        <v>2</v>
      </c>
      <c r="M9" s="16">
        <v>0.96</v>
      </c>
      <c r="N9" s="16">
        <v>0.75</v>
      </c>
      <c r="O9" s="17">
        <f t="shared" si="0"/>
        <v>18.8</v>
      </c>
      <c r="P9" s="7">
        <v>8</v>
      </c>
      <c r="Q9" s="18" t="s">
        <v>42</v>
      </c>
      <c r="R9" s="6">
        <v>2.47</v>
      </c>
      <c r="S9" s="6">
        <v>3.01</v>
      </c>
      <c r="T9" s="6">
        <v>4.76</v>
      </c>
      <c r="U9" s="6">
        <v>6.01</v>
      </c>
      <c r="V9" s="6">
        <v>6.98</v>
      </c>
      <c r="W9" s="6">
        <v>7.41</v>
      </c>
      <c r="X9" s="6">
        <v>7.57</v>
      </c>
      <c r="Y9" s="6">
        <v>7.41</v>
      </c>
      <c r="Z9" s="6">
        <v>5.77</v>
      </c>
      <c r="AA9" s="6">
        <v>4.35</v>
      </c>
      <c r="AB9" s="6">
        <v>2.91</v>
      </c>
      <c r="AC9" s="6">
        <v>2.36</v>
      </c>
      <c r="AD9" s="19">
        <v>61.01</v>
      </c>
    </row>
    <row r="10" spans="1:30" s="14" customFormat="1" ht="12.75">
      <c r="A10" s="7">
        <v>9</v>
      </c>
      <c r="B10" s="15" t="s">
        <v>43</v>
      </c>
      <c r="C10" s="16">
        <v>0.45</v>
      </c>
      <c r="D10" s="16">
        <v>0.39</v>
      </c>
      <c r="E10" s="16">
        <v>0.26</v>
      </c>
      <c r="F10" s="16">
        <v>0.23</v>
      </c>
      <c r="G10" s="16">
        <v>0.38</v>
      </c>
      <c r="H10" s="16">
        <v>0.87</v>
      </c>
      <c r="I10" s="16">
        <v>1.49</v>
      </c>
      <c r="J10" s="16">
        <v>1.75</v>
      </c>
      <c r="K10" s="16">
        <v>1.61</v>
      </c>
      <c r="L10" s="16">
        <v>0.81</v>
      </c>
      <c r="M10" s="16">
        <v>0.42</v>
      </c>
      <c r="N10" s="16">
        <v>0.77</v>
      </c>
      <c r="O10" s="17">
        <f t="shared" si="0"/>
        <v>9.43</v>
      </c>
      <c r="P10" s="7">
        <v>9</v>
      </c>
      <c r="Q10" s="18" t="s">
        <v>43</v>
      </c>
      <c r="R10" s="6">
        <v>2.74</v>
      </c>
      <c r="S10" s="6">
        <v>3.53</v>
      </c>
      <c r="T10" s="6">
        <v>6.07</v>
      </c>
      <c r="U10" s="6">
        <v>8.19</v>
      </c>
      <c r="V10" s="6">
        <v>9.83</v>
      </c>
      <c r="W10" s="6">
        <v>11.12</v>
      </c>
      <c r="X10" s="6">
        <v>9.19</v>
      </c>
      <c r="Y10" s="6">
        <v>8.94</v>
      </c>
      <c r="Z10" s="6">
        <v>7.69</v>
      </c>
      <c r="AA10" s="6">
        <v>5.89</v>
      </c>
      <c r="AB10" s="6">
        <v>3.58</v>
      </c>
      <c r="AC10" s="6">
        <v>2.49</v>
      </c>
      <c r="AD10" s="19">
        <v>79.26</v>
      </c>
    </row>
    <row r="11" spans="1:30" s="14" customFormat="1" ht="12.75">
      <c r="A11" s="7">
        <v>10</v>
      </c>
      <c r="B11" s="15" t="s">
        <v>44</v>
      </c>
      <c r="C11" s="16">
        <v>4.08</v>
      </c>
      <c r="D11" s="16">
        <v>2.61</v>
      </c>
      <c r="E11" s="16">
        <v>2.76</v>
      </c>
      <c r="F11" s="16">
        <v>2.56</v>
      </c>
      <c r="G11" s="16">
        <v>3.7</v>
      </c>
      <c r="H11" s="16">
        <v>4.04</v>
      </c>
      <c r="I11" s="16">
        <v>3.45</v>
      </c>
      <c r="J11" s="16">
        <v>4.22</v>
      </c>
      <c r="K11" s="16">
        <v>5.76</v>
      </c>
      <c r="L11" s="16">
        <v>3.49</v>
      </c>
      <c r="M11" s="16">
        <v>3.64</v>
      </c>
      <c r="N11" s="16">
        <v>3.53</v>
      </c>
      <c r="O11" s="17">
        <f t="shared" si="0"/>
        <v>43.84</v>
      </c>
      <c r="P11" s="7">
        <v>10</v>
      </c>
      <c r="Q11" s="18" t="s">
        <v>44</v>
      </c>
      <c r="R11" s="6">
        <v>2.2</v>
      </c>
      <c r="S11" s="6">
        <v>2.6</v>
      </c>
      <c r="T11" s="6">
        <v>4.1</v>
      </c>
      <c r="U11" s="6">
        <v>5</v>
      </c>
      <c r="V11" s="6">
        <v>6.11</v>
      </c>
      <c r="W11" s="6">
        <v>6.6</v>
      </c>
      <c r="X11" s="6">
        <v>6.2</v>
      </c>
      <c r="Y11" s="6">
        <v>6</v>
      </c>
      <c r="Z11" s="6">
        <v>5.5</v>
      </c>
      <c r="AA11" s="6">
        <v>4.2</v>
      </c>
      <c r="AB11" s="6">
        <v>2.8</v>
      </c>
      <c r="AC11" s="6">
        <v>2.3</v>
      </c>
      <c r="AD11" s="19">
        <v>53.61</v>
      </c>
    </row>
    <row r="12" spans="1:30" s="14" customFormat="1" ht="12.75">
      <c r="A12" s="7">
        <v>11</v>
      </c>
      <c r="B12" s="15" t="s">
        <v>45</v>
      </c>
      <c r="C12" s="16">
        <v>3.68</v>
      </c>
      <c r="D12" s="16">
        <v>2.98</v>
      </c>
      <c r="E12" s="16">
        <v>3.36</v>
      </c>
      <c r="F12" s="16">
        <v>3.6</v>
      </c>
      <c r="G12" s="16">
        <v>5.15</v>
      </c>
      <c r="H12" s="16">
        <v>5.35</v>
      </c>
      <c r="I12" s="16">
        <v>3.18</v>
      </c>
      <c r="J12" s="16">
        <v>3.83</v>
      </c>
      <c r="K12" s="16">
        <v>4.33</v>
      </c>
      <c r="L12" s="16">
        <v>4.5</v>
      </c>
      <c r="M12" s="16">
        <v>4.19</v>
      </c>
      <c r="N12" s="16">
        <v>3.69</v>
      </c>
      <c r="O12" s="17">
        <f t="shared" si="0"/>
        <v>47.83999999999999</v>
      </c>
      <c r="P12" s="7">
        <v>11</v>
      </c>
      <c r="Q12" s="18" t="s">
        <v>45</v>
      </c>
      <c r="R12" s="6">
        <v>2.36</v>
      </c>
      <c r="S12" s="6">
        <v>2.83</v>
      </c>
      <c r="T12" s="6">
        <v>4.32</v>
      </c>
      <c r="U12" s="6">
        <v>5.01</v>
      </c>
      <c r="V12" s="6">
        <v>6.11</v>
      </c>
      <c r="W12" s="6">
        <v>6.57</v>
      </c>
      <c r="X12" s="6">
        <v>6.52</v>
      </c>
      <c r="Y12" s="6">
        <v>6.08</v>
      </c>
      <c r="Z12" s="6">
        <v>5.57</v>
      </c>
      <c r="AA12" s="6">
        <v>4.28</v>
      </c>
      <c r="AB12" s="6">
        <v>2.9</v>
      </c>
      <c r="AC12" s="6">
        <v>2.35</v>
      </c>
      <c r="AD12" s="19">
        <v>54.9</v>
      </c>
    </row>
    <row r="13" spans="1:30" s="14" customFormat="1" ht="12.75">
      <c r="A13" s="7">
        <v>12</v>
      </c>
      <c r="B13" s="15" t="s">
        <v>46</v>
      </c>
      <c r="C13" s="16">
        <v>0.5</v>
      </c>
      <c r="D13" s="16">
        <v>0.71</v>
      </c>
      <c r="E13" s="16">
        <v>0.76</v>
      </c>
      <c r="F13" s="16">
        <v>1.29</v>
      </c>
      <c r="G13" s="16">
        <v>2.31</v>
      </c>
      <c r="H13" s="16">
        <v>2.98</v>
      </c>
      <c r="I13" s="16">
        <v>2.13</v>
      </c>
      <c r="J13" s="16">
        <v>2.35</v>
      </c>
      <c r="K13" s="16">
        <v>2.57</v>
      </c>
      <c r="L13" s="16">
        <v>1.7</v>
      </c>
      <c r="M13" s="16">
        <v>0.71</v>
      </c>
      <c r="N13" s="16">
        <v>0.67</v>
      </c>
      <c r="O13" s="17">
        <f t="shared" si="0"/>
        <v>18.680000000000003</v>
      </c>
      <c r="P13" s="7">
        <v>12</v>
      </c>
      <c r="Q13" s="18" t="s">
        <v>46</v>
      </c>
      <c r="R13" s="6">
        <v>2.35</v>
      </c>
      <c r="S13" s="6">
        <v>2.63</v>
      </c>
      <c r="T13" s="6">
        <v>4.41</v>
      </c>
      <c r="U13" s="6">
        <v>5.53</v>
      </c>
      <c r="V13" s="6">
        <v>6.93</v>
      </c>
      <c r="W13" s="6">
        <v>7.73</v>
      </c>
      <c r="X13" s="6">
        <v>7.63</v>
      </c>
      <c r="Y13" s="6">
        <v>7.2</v>
      </c>
      <c r="Z13" s="6">
        <v>5.54</v>
      </c>
      <c r="AA13" s="6">
        <v>4.19</v>
      </c>
      <c r="AB13" s="6">
        <v>2.61</v>
      </c>
      <c r="AC13" s="6">
        <v>2.33</v>
      </c>
      <c r="AD13" s="19">
        <v>59.08</v>
      </c>
    </row>
    <row r="14" spans="1:30" s="14" customFormat="1" ht="12.75">
      <c r="A14" s="7">
        <v>13</v>
      </c>
      <c r="B14" s="15" t="s">
        <v>47</v>
      </c>
      <c r="C14" s="16">
        <v>0.53</v>
      </c>
      <c r="D14" s="16">
        <v>0.58</v>
      </c>
      <c r="E14" s="16">
        <v>0.42</v>
      </c>
      <c r="F14" s="16">
        <v>0.73</v>
      </c>
      <c r="G14" s="16">
        <v>1.79</v>
      </c>
      <c r="H14" s="16">
        <v>1.71</v>
      </c>
      <c r="I14" s="16">
        <v>1.89</v>
      </c>
      <c r="J14" s="16">
        <v>1.77</v>
      </c>
      <c r="K14" s="16">
        <v>2.31</v>
      </c>
      <c r="L14" s="16">
        <v>1.77</v>
      </c>
      <c r="M14" s="16">
        <v>0.65</v>
      </c>
      <c r="N14" s="16">
        <v>0.65</v>
      </c>
      <c r="O14" s="17">
        <f t="shared" si="0"/>
        <v>14.8</v>
      </c>
      <c r="P14" s="7">
        <v>13</v>
      </c>
      <c r="Q14" s="18" t="s">
        <v>47</v>
      </c>
      <c r="R14" s="6">
        <v>2.2</v>
      </c>
      <c r="S14" s="6">
        <v>2.78</v>
      </c>
      <c r="T14" s="6">
        <v>4.46</v>
      </c>
      <c r="U14" s="6">
        <v>5.91</v>
      </c>
      <c r="V14" s="6">
        <v>7.21</v>
      </c>
      <c r="W14" s="6">
        <v>8.2</v>
      </c>
      <c r="X14" s="6">
        <v>9.23</v>
      </c>
      <c r="Y14" s="6">
        <v>8.62</v>
      </c>
      <c r="Z14" s="6">
        <v>6.95</v>
      </c>
      <c r="AA14" s="6">
        <v>4.31</v>
      </c>
      <c r="AB14" s="6">
        <v>2.78</v>
      </c>
      <c r="AC14" s="6">
        <v>2.16</v>
      </c>
      <c r="AD14" s="19">
        <v>64.81</v>
      </c>
    </row>
    <row r="15" spans="1:30" s="14" customFormat="1" ht="12.75">
      <c r="A15" s="7">
        <v>14</v>
      </c>
      <c r="B15" s="15" t="s">
        <v>48</v>
      </c>
      <c r="C15" s="16">
        <v>5.69</v>
      </c>
      <c r="D15" s="16">
        <v>3.35</v>
      </c>
      <c r="E15" s="16">
        <v>3.75</v>
      </c>
      <c r="F15" s="16">
        <v>3.84</v>
      </c>
      <c r="G15" s="16">
        <v>5.83</v>
      </c>
      <c r="H15" s="16">
        <v>6.58</v>
      </c>
      <c r="I15" s="16">
        <v>5.23</v>
      </c>
      <c r="J15" s="16">
        <v>4.85</v>
      </c>
      <c r="K15" s="16">
        <v>6.1</v>
      </c>
      <c r="L15" s="16">
        <v>4.67</v>
      </c>
      <c r="M15" s="16">
        <v>4.75</v>
      </c>
      <c r="N15" s="16">
        <v>5.25</v>
      </c>
      <c r="O15" s="17">
        <f t="shared" si="0"/>
        <v>59.89</v>
      </c>
      <c r="P15" s="7">
        <v>14</v>
      </c>
      <c r="Q15" s="18" t="s">
        <v>48</v>
      </c>
      <c r="R15" s="6">
        <v>2.25</v>
      </c>
      <c r="S15" s="6">
        <v>2.63</v>
      </c>
      <c r="T15" s="6">
        <v>3.95</v>
      </c>
      <c r="U15" s="6">
        <v>5.09</v>
      </c>
      <c r="V15" s="6">
        <v>6.12</v>
      </c>
      <c r="W15" s="6">
        <v>6.6</v>
      </c>
      <c r="X15" s="6">
        <v>5.81</v>
      </c>
      <c r="Y15" s="6">
        <v>5.61</v>
      </c>
      <c r="Z15" s="6">
        <v>5.46</v>
      </c>
      <c r="AA15" s="6">
        <v>4.18</v>
      </c>
      <c r="AB15" s="6">
        <v>2.76</v>
      </c>
      <c r="AC15" s="6">
        <v>2.23</v>
      </c>
      <c r="AD15" s="19">
        <v>52.69</v>
      </c>
    </row>
    <row r="16" spans="1:30" s="14" customFormat="1" ht="12.75">
      <c r="A16" s="7">
        <v>15</v>
      </c>
      <c r="B16" s="15" t="s">
        <v>49</v>
      </c>
      <c r="C16" s="16">
        <v>0.81</v>
      </c>
      <c r="D16" s="16">
        <v>1.18</v>
      </c>
      <c r="E16" s="16">
        <v>0.99</v>
      </c>
      <c r="F16" s="16">
        <v>1.6</v>
      </c>
      <c r="G16" s="16">
        <v>3.09</v>
      </c>
      <c r="H16" s="16">
        <v>2.52</v>
      </c>
      <c r="I16" s="16">
        <v>1.1</v>
      </c>
      <c r="J16" s="16">
        <v>2.05</v>
      </c>
      <c r="K16" s="16">
        <v>2.95</v>
      </c>
      <c r="L16" s="16">
        <v>2.57</v>
      </c>
      <c r="M16" s="16">
        <v>1.1</v>
      </c>
      <c r="N16" s="16">
        <v>0.94</v>
      </c>
      <c r="O16" s="17">
        <f t="shared" si="0"/>
        <v>20.900000000000002</v>
      </c>
      <c r="P16" s="7">
        <v>15</v>
      </c>
      <c r="Q16" s="18" t="s">
        <v>49</v>
      </c>
      <c r="R16" s="6">
        <v>2.88</v>
      </c>
      <c r="S16" s="6">
        <v>3.13</v>
      </c>
      <c r="T16" s="6">
        <v>5.31</v>
      </c>
      <c r="U16" s="6">
        <v>7.01</v>
      </c>
      <c r="V16" s="6">
        <v>8.48</v>
      </c>
      <c r="W16" s="6">
        <v>9.16</v>
      </c>
      <c r="X16" s="6">
        <v>9.29</v>
      </c>
      <c r="Y16" s="6">
        <v>8.49</v>
      </c>
      <c r="Z16" s="6">
        <v>6.6</v>
      </c>
      <c r="AA16" s="6">
        <v>5.08</v>
      </c>
      <c r="AB16" s="6">
        <v>3.37</v>
      </c>
      <c r="AC16" s="6">
        <v>2.54</v>
      </c>
      <c r="AD16" s="19">
        <v>71.34</v>
      </c>
    </row>
    <row r="17" spans="1:30" s="14" customFormat="1" ht="12.75">
      <c r="A17" s="7">
        <v>16</v>
      </c>
      <c r="B17" s="15" t="s">
        <v>50</v>
      </c>
      <c r="C17" s="16">
        <v>1.66</v>
      </c>
      <c r="D17" s="16">
        <v>1.75</v>
      </c>
      <c r="E17" s="16">
        <v>1.89</v>
      </c>
      <c r="F17" s="16">
        <v>2.6</v>
      </c>
      <c r="G17" s="16">
        <v>4.72</v>
      </c>
      <c r="H17" s="16">
        <v>4.3</v>
      </c>
      <c r="I17" s="16">
        <v>2.03</v>
      </c>
      <c r="J17" s="16">
        <v>2.57</v>
      </c>
      <c r="K17" s="16">
        <v>3</v>
      </c>
      <c r="L17" s="16">
        <v>3.86</v>
      </c>
      <c r="M17" s="16">
        <v>2.58</v>
      </c>
      <c r="N17" s="16">
        <v>1.96</v>
      </c>
      <c r="O17" s="17">
        <f t="shared" si="0"/>
        <v>32.92</v>
      </c>
      <c r="P17" s="7">
        <v>16</v>
      </c>
      <c r="Q17" s="18" t="s">
        <v>50</v>
      </c>
      <c r="R17" s="6">
        <v>2.42</v>
      </c>
      <c r="S17" s="6">
        <v>2.9</v>
      </c>
      <c r="T17" s="6">
        <v>4.42</v>
      </c>
      <c r="U17" s="6">
        <v>5.47</v>
      </c>
      <c r="V17" s="6">
        <v>6.47</v>
      </c>
      <c r="W17" s="6">
        <v>6.97</v>
      </c>
      <c r="X17" s="6">
        <v>7.31</v>
      </c>
      <c r="Y17" s="6">
        <v>6.99</v>
      </c>
      <c r="Z17" s="6">
        <v>5.64</v>
      </c>
      <c r="AA17" s="6">
        <v>4.44</v>
      </c>
      <c r="AB17" s="6">
        <v>2.85</v>
      </c>
      <c r="AC17" s="6">
        <v>2.36</v>
      </c>
      <c r="AD17" s="19">
        <v>58.24</v>
      </c>
    </row>
    <row r="18" spans="1:30" s="14" customFormat="1" ht="12.75">
      <c r="A18" s="7">
        <v>17</v>
      </c>
      <c r="B18" s="15" t="s">
        <v>51</v>
      </c>
      <c r="C18" s="16">
        <v>2.44</v>
      </c>
      <c r="D18" s="16">
        <v>2.04</v>
      </c>
      <c r="E18" s="16">
        <v>2.25</v>
      </c>
      <c r="F18" s="16">
        <v>2.97</v>
      </c>
      <c r="G18" s="16">
        <v>5.12</v>
      </c>
      <c r="H18" s="16">
        <v>4.96</v>
      </c>
      <c r="I18" s="16">
        <v>2.9</v>
      </c>
      <c r="J18" s="16">
        <v>3.05</v>
      </c>
      <c r="K18" s="16">
        <v>5</v>
      </c>
      <c r="L18" s="16">
        <v>4.26</v>
      </c>
      <c r="M18" s="16">
        <v>2.64</v>
      </c>
      <c r="N18" s="16">
        <v>2.47</v>
      </c>
      <c r="O18" s="17">
        <f t="shared" si="0"/>
        <v>40.1</v>
      </c>
      <c r="P18" s="7">
        <v>17</v>
      </c>
      <c r="Q18" s="18" t="s">
        <v>51</v>
      </c>
      <c r="R18" s="6">
        <v>2.35</v>
      </c>
      <c r="S18" s="6">
        <v>2.87</v>
      </c>
      <c r="T18" s="6">
        <v>4.29</v>
      </c>
      <c r="U18" s="6">
        <v>5.77</v>
      </c>
      <c r="V18" s="6">
        <v>6.39</v>
      </c>
      <c r="W18" s="6">
        <v>6.7</v>
      </c>
      <c r="X18" s="6">
        <v>6.92</v>
      </c>
      <c r="Y18" s="6">
        <v>6.7</v>
      </c>
      <c r="Z18" s="6">
        <v>5.36</v>
      </c>
      <c r="AA18" s="6">
        <v>4.41</v>
      </c>
      <c r="AB18" s="6">
        <v>2.93</v>
      </c>
      <c r="AC18" s="6">
        <v>2.33</v>
      </c>
      <c r="AD18" s="19">
        <v>57.02</v>
      </c>
    </row>
    <row r="19" spans="1:30" s="14" customFormat="1" ht="12.75">
      <c r="A19" s="7">
        <v>18</v>
      </c>
      <c r="B19" s="15" t="s">
        <v>52</v>
      </c>
      <c r="C19" s="16">
        <v>1.9</v>
      </c>
      <c r="D19" s="16">
        <v>2.43</v>
      </c>
      <c r="E19" s="16">
        <v>2.48</v>
      </c>
      <c r="F19" s="16">
        <v>2.99</v>
      </c>
      <c r="G19" s="16">
        <v>4.46</v>
      </c>
      <c r="H19" s="16">
        <v>3.08</v>
      </c>
      <c r="I19" s="16">
        <v>2.23</v>
      </c>
      <c r="J19" s="16">
        <v>1.85</v>
      </c>
      <c r="K19" s="16">
        <v>2.88</v>
      </c>
      <c r="L19" s="16">
        <v>3.67</v>
      </c>
      <c r="M19" s="16">
        <v>2.61</v>
      </c>
      <c r="N19" s="16">
        <v>2.76</v>
      </c>
      <c r="O19" s="17">
        <f t="shared" si="0"/>
        <v>33.34</v>
      </c>
      <c r="P19" s="7">
        <v>18</v>
      </c>
      <c r="Q19" s="18" t="s">
        <v>52</v>
      </c>
      <c r="R19" s="6">
        <v>2.13</v>
      </c>
      <c r="S19" s="6">
        <v>2.62</v>
      </c>
      <c r="T19" s="6">
        <v>4.03</v>
      </c>
      <c r="U19" s="6">
        <v>5.31</v>
      </c>
      <c r="V19" s="6">
        <v>6.45</v>
      </c>
      <c r="W19" s="6">
        <v>7.15</v>
      </c>
      <c r="X19" s="6">
        <v>7.4</v>
      </c>
      <c r="Y19" s="6">
        <v>7.5</v>
      </c>
      <c r="Z19" s="6">
        <v>5.7</v>
      </c>
      <c r="AA19" s="6">
        <v>4.41</v>
      </c>
      <c r="AB19" s="6">
        <v>2.7</v>
      </c>
      <c r="AC19" s="6">
        <v>2.17</v>
      </c>
      <c r="AD19" s="19">
        <v>53.16</v>
      </c>
    </row>
    <row r="20" spans="1:30" s="14" customFormat="1" ht="12.75">
      <c r="A20" s="7">
        <v>19</v>
      </c>
      <c r="B20" s="15" t="s">
        <v>53</v>
      </c>
      <c r="C20" s="16">
        <v>1.12</v>
      </c>
      <c r="D20" s="16">
        <v>1.57</v>
      </c>
      <c r="E20" s="16">
        <v>2.27</v>
      </c>
      <c r="F20" s="16">
        <v>2.62</v>
      </c>
      <c r="G20" s="16">
        <v>3.92</v>
      </c>
      <c r="H20" s="16">
        <v>3.69</v>
      </c>
      <c r="I20" s="16">
        <v>1.58</v>
      </c>
      <c r="J20" s="16">
        <v>2.38</v>
      </c>
      <c r="K20" s="16">
        <v>3.19</v>
      </c>
      <c r="L20" s="16">
        <v>3.11</v>
      </c>
      <c r="M20" s="16">
        <v>1.68</v>
      </c>
      <c r="N20" s="16">
        <v>1.68</v>
      </c>
      <c r="O20" s="17">
        <f t="shared" si="0"/>
        <v>28.81</v>
      </c>
      <c r="P20" s="7">
        <v>19</v>
      </c>
      <c r="Q20" s="18" t="s">
        <v>53</v>
      </c>
      <c r="R20" s="6">
        <v>1.94</v>
      </c>
      <c r="S20" s="6">
        <v>2.46</v>
      </c>
      <c r="T20" s="6">
        <v>4.07</v>
      </c>
      <c r="U20" s="6">
        <v>5.5</v>
      </c>
      <c r="V20" s="6">
        <v>6.7</v>
      </c>
      <c r="W20" s="6">
        <v>7.54</v>
      </c>
      <c r="X20" s="6">
        <v>7.97</v>
      </c>
      <c r="Y20" s="6">
        <v>7.72</v>
      </c>
      <c r="Z20" s="6">
        <v>5.79</v>
      </c>
      <c r="AA20" s="6">
        <v>4.3</v>
      </c>
      <c r="AB20" s="6">
        <v>2.62</v>
      </c>
      <c r="AC20" s="6">
        <v>1.95</v>
      </c>
      <c r="AD20" s="19">
        <v>58.56</v>
      </c>
    </row>
    <row r="21" spans="3:30" ht="15">
      <c r="C21" s="155" t="s">
        <v>58</v>
      </c>
      <c r="D21" s="155"/>
      <c r="E21" s="155"/>
      <c r="F21" s="155"/>
      <c r="G21" s="155"/>
      <c r="H21" s="155"/>
      <c r="I21" s="155"/>
      <c r="J21" s="155"/>
      <c r="K21" s="155"/>
      <c r="L21" s="155"/>
      <c r="M21" s="155"/>
      <c r="N21" s="155"/>
      <c r="O21" s="155"/>
      <c r="P21" s="29"/>
      <c r="R21" s="156" t="s">
        <v>56</v>
      </c>
      <c r="S21" s="156"/>
      <c r="T21" s="156"/>
      <c r="U21" s="156"/>
      <c r="V21" s="156"/>
      <c r="W21" s="156"/>
      <c r="X21" s="156"/>
      <c r="Y21" s="156"/>
      <c r="Z21" s="156"/>
      <c r="AA21" s="156"/>
      <c r="AB21" s="156"/>
      <c r="AC21" s="156"/>
      <c r="AD21" s="156"/>
    </row>
    <row r="22" ht="15">
      <c r="P22" s="4"/>
    </row>
    <row r="23" spans="3:30" ht="15">
      <c r="C23" s="22"/>
      <c r="D23" s="23" t="s">
        <v>78</v>
      </c>
      <c r="E23" s="157" t="s">
        <v>70</v>
      </c>
      <c r="F23" s="157"/>
      <c r="G23" s="157"/>
      <c r="H23" s="157"/>
      <c r="I23" s="157"/>
      <c r="J23" s="157"/>
      <c r="K23" s="157"/>
      <c r="L23" s="157"/>
      <c r="M23" s="22" t="s">
        <v>71</v>
      </c>
      <c r="N23" s="22"/>
      <c r="O23" s="22"/>
      <c r="P23" s="4"/>
      <c r="R23" s="20"/>
      <c r="S23" s="21" t="s">
        <v>78</v>
      </c>
      <c r="T23" s="158" t="s">
        <v>69</v>
      </c>
      <c r="U23" s="158"/>
      <c r="V23" s="158"/>
      <c r="W23" s="158"/>
      <c r="X23" s="158"/>
      <c r="Y23" s="158"/>
      <c r="Z23" s="158"/>
      <c r="AA23" s="158"/>
      <c r="AB23" s="20" t="s">
        <v>68</v>
      </c>
      <c r="AC23" s="20"/>
      <c r="AD23" s="20"/>
    </row>
    <row r="24" spans="3:15" ht="15">
      <c r="C24" s="4"/>
      <c r="D24" s="4"/>
      <c r="E24" s="35"/>
      <c r="F24" s="4"/>
      <c r="G24" s="4"/>
      <c r="H24" s="4"/>
      <c r="I24" s="4"/>
      <c r="J24" s="4"/>
      <c r="K24" s="4"/>
      <c r="L24" s="4"/>
      <c r="M24" s="4"/>
      <c r="N24" s="4"/>
      <c r="O24" s="4"/>
    </row>
    <row r="25" ht="15"/>
    <row r="26" ht="15"/>
    <row r="30" spans="1:17" ht="15">
      <c r="A30" s="27" t="s">
        <v>61</v>
      </c>
      <c r="B30" s="28" t="s">
        <v>62</v>
      </c>
      <c r="C30" s="55" t="s">
        <v>63</v>
      </c>
      <c r="D30" s="55"/>
      <c r="E30" s="55" t="s">
        <v>82</v>
      </c>
      <c r="F30" s="26"/>
      <c r="G30" s="26"/>
      <c r="H30" s="26"/>
      <c r="I30" s="26"/>
      <c r="J30" s="26"/>
      <c r="K30" s="26"/>
      <c r="L30" s="26"/>
      <c r="M30" s="26"/>
      <c r="N30" s="26"/>
      <c r="O30" s="26"/>
      <c r="P30" s="26"/>
      <c r="Q30" s="26"/>
    </row>
    <row r="31" spans="1:17" s="107" customFormat="1" ht="15">
      <c r="A31" s="104">
        <v>1</v>
      </c>
      <c r="B31" s="105" t="s">
        <v>136</v>
      </c>
      <c r="C31" s="106">
        <v>0.95</v>
      </c>
      <c r="E31" s="108" t="s">
        <v>78</v>
      </c>
      <c r="F31" s="159" t="s">
        <v>105</v>
      </c>
      <c r="G31" s="159"/>
      <c r="H31" s="159"/>
      <c r="I31" s="159"/>
      <c r="J31" s="159"/>
      <c r="K31" s="159"/>
      <c r="L31" s="159"/>
      <c r="M31" s="159"/>
      <c r="N31" s="159"/>
      <c r="O31" s="159"/>
      <c r="P31" s="159"/>
      <c r="Q31" s="159"/>
    </row>
    <row r="32" spans="1:17" ht="15">
      <c r="A32" s="2">
        <v>2</v>
      </c>
      <c r="B32" t="s">
        <v>103</v>
      </c>
      <c r="C32" s="3">
        <v>0.95</v>
      </c>
      <c r="E32" s="1" t="s">
        <v>78</v>
      </c>
      <c r="F32" s="153" t="s">
        <v>104</v>
      </c>
      <c r="G32" s="153"/>
      <c r="H32" s="153"/>
      <c r="I32" s="153"/>
      <c r="J32" s="153"/>
      <c r="K32" s="153"/>
      <c r="L32" s="153"/>
      <c r="M32" s="153"/>
      <c r="N32" s="153"/>
      <c r="O32" s="153"/>
      <c r="P32" s="153"/>
      <c r="Q32" s="153"/>
    </row>
    <row r="33" spans="1:17" ht="15">
      <c r="A33" s="2">
        <v>3</v>
      </c>
      <c r="B33" t="s">
        <v>107</v>
      </c>
      <c r="C33" s="3">
        <v>0.9</v>
      </c>
      <c r="E33" s="1" t="s">
        <v>78</v>
      </c>
      <c r="F33" s="153" t="s">
        <v>105</v>
      </c>
      <c r="G33" s="153"/>
      <c r="H33" s="153"/>
      <c r="I33" s="153"/>
      <c r="J33" s="153"/>
      <c r="K33" s="153"/>
      <c r="L33" s="153"/>
      <c r="M33" s="153"/>
      <c r="N33" s="153"/>
      <c r="O33" s="153"/>
      <c r="P33" s="153"/>
      <c r="Q33" s="153"/>
    </row>
    <row r="34" spans="1:17" ht="15">
      <c r="A34" s="2">
        <v>4</v>
      </c>
      <c r="B34" t="s">
        <v>88</v>
      </c>
      <c r="C34" s="3">
        <v>0.8</v>
      </c>
      <c r="E34" s="1" t="s">
        <v>78</v>
      </c>
      <c r="F34" s="153" t="s">
        <v>105</v>
      </c>
      <c r="G34" s="153"/>
      <c r="H34" s="153"/>
      <c r="I34" s="153"/>
      <c r="J34" s="153"/>
      <c r="K34" s="153"/>
      <c r="L34" s="153"/>
      <c r="M34" s="153"/>
      <c r="N34" s="153"/>
      <c r="O34" s="153"/>
      <c r="P34" s="153"/>
      <c r="Q34" s="153"/>
    </row>
    <row r="35" spans="1:17" ht="15">
      <c r="A35" s="2">
        <v>5</v>
      </c>
      <c r="B35" t="s">
        <v>85</v>
      </c>
      <c r="C35" s="3">
        <v>0.75</v>
      </c>
      <c r="E35" s="1" t="s">
        <v>78</v>
      </c>
      <c r="F35" s="153" t="s">
        <v>106</v>
      </c>
      <c r="G35" s="153"/>
      <c r="H35" s="153"/>
      <c r="I35" s="153"/>
      <c r="J35" s="153"/>
      <c r="K35" s="153"/>
      <c r="L35" s="153"/>
      <c r="M35" s="153"/>
      <c r="N35" s="153"/>
      <c r="O35" s="153"/>
      <c r="P35" s="153"/>
      <c r="Q35" s="153"/>
    </row>
    <row r="36" spans="1:17" ht="15">
      <c r="A36" s="2">
        <v>6</v>
      </c>
      <c r="B36" t="s">
        <v>84</v>
      </c>
      <c r="C36" s="3">
        <v>0.5</v>
      </c>
      <c r="E36" s="1" t="s">
        <v>78</v>
      </c>
      <c r="F36" s="153" t="s">
        <v>106</v>
      </c>
      <c r="G36" s="153"/>
      <c r="H36" s="153"/>
      <c r="I36" s="153"/>
      <c r="J36" s="153"/>
      <c r="K36" s="153"/>
      <c r="L36" s="153"/>
      <c r="M36" s="153"/>
      <c r="N36" s="153"/>
      <c r="O36" s="153"/>
      <c r="P36" s="153"/>
      <c r="Q36" s="153"/>
    </row>
    <row r="37" spans="1:17" ht="15">
      <c r="A37" s="2">
        <v>7</v>
      </c>
      <c r="B37" t="s">
        <v>86</v>
      </c>
      <c r="C37" s="3">
        <v>0.28</v>
      </c>
      <c r="E37" s="1" t="s">
        <v>78</v>
      </c>
      <c r="F37" s="153" t="s">
        <v>87</v>
      </c>
      <c r="G37" s="153"/>
      <c r="H37" s="153"/>
      <c r="I37" s="153"/>
      <c r="J37" s="153"/>
      <c r="K37" s="153"/>
      <c r="L37" s="153"/>
      <c r="M37" s="153"/>
      <c r="N37" s="153"/>
      <c r="O37" s="153"/>
      <c r="P37" s="153"/>
      <c r="Q37" s="153"/>
    </row>
    <row r="38" spans="1:17" ht="15">
      <c r="A38" s="25" t="s">
        <v>83</v>
      </c>
      <c r="B38" s="26"/>
      <c r="C38" s="26"/>
      <c r="D38" s="26"/>
      <c r="E38" s="26"/>
      <c r="F38" s="26"/>
      <c r="G38" s="26"/>
      <c r="H38" s="26"/>
      <c r="I38" s="26"/>
      <c r="J38" s="26"/>
      <c r="K38" s="26"/>
      <c r="L38" s="26"/>
      <c r="M38" s="26"/>
      <c r="N38" s="26"/>
      <c r="O38" s="26"/>
      <c r="P38" s="26"/>
      <c r="Q38" s="26"/>
    </row>
    <row r="46" spans="1:20" ht="15">
      <c r="A46" s="30" t="s">
        <v>61</v>
      </c>
      <c r="B46" s="31" t="s">
        <v>89</v>
      </c>
      <c r="C46" s="30" t="s">
        <v>63</v>
      </c>
      <c r="D46" s="32"/>
      <c r="E46" s="31" t="s">
        <v>115</v>
      </c>
      <c r="F46" s="32"/>
      <c r="G46" s="32"/>
      <c r="H46" s="32"/>
      <c r="I46" s="32"/>
      <c r="J46" s="32"/>
      <c r="K46" s="32"/>
      <c r="L46" s="32"/>
      <c r="M46" s="32"/>
      <c r="N46" s="32"/>
      <c r="O46" s="32"/>
      <c r="P46" s="32"/>
      <c r="Q46" s="32"/>
      <c r="R46" s="32"/>
      <c r="S46" s="32"/>
      <c r="T46" s="32"/>
    </row>
    <row r="47" spans="1:20" ht="15">
      <c r="A47" s="2">
        <v>1</v>
      </c>
      <c r="B47" t="s">
        <v>112</v>
      </c>
      <c r="C47" s="3">
        <v>0.1</v>
      </c>
      <c r="E47" s="154" t="s">
        <v>120</v>
      </c>
      <c r="F47" s="154"/>
      <c r="G47" s="154"/>
      <c r="H47" s="154"/>
      <c r="I47" s="154"/>
      <c r="J47" s="154"/>
      <c r="K47" s="154"/>
      <c r="L47" s="154"/>
      <c r="M47" s="154"/>
      <c r="N47" s="154"/>
      <c r="O47" s="154"/>
      <c r="P47" s="154"/>
      <c r="R47" s="94"/>
      <c r="S47" s="68"/>
      <c r="T47" s="68"/>
    </row>
    <row r="48" spans="1:17" ht="15">
      <c r="A48" s="2">
        <v>2</v>
      </c>
      <c r="B48" t="s">
        <v>65</v>
      </c>
      <c r="C48" s="3">
        <v>0.3</v>
      </c>
      <c r="E48" s="153" t="s">
        <v>121</v>
      </c>
      <c r="F48" s="153"/>
      <c r="G48" s="153"/>
      <c r="H48" s="153"/>
      <c r="I48" s="153"/>
      <c r="J48" s="153"/>
      <c r="K48" s="153"/>
      <c r="L48" s="153"/>
      <c r="M48" s="153"/>
      <c r="N48" s="153"/>
      <c r="O48" s="153"/>
      <c r="P48" s="153"/>
      <c r="Q48" s="153"/>
    </row>
    <row r="49" spans="1:20" ht="15">
      <c r="A49" s="2">
        <v>3</v>
      </c>
      <c r="B49" t="s">
        <v>66</v>
      </c>
      <c r="C49" s="3">
        <v>0.6</v>
      </c>
      <c r="E49" s="153" t="s">
        <v>114</v>
      </c>
      <c r="F49" s="153"/>
      <c r="G49" s="153"/>
      <c r="H49" s="153"/>
      <c r="I49" s="153"/>
      <c r="J49" s="153"/>
      <c r="K49" s="153"/>
      <c r="L49" s="153"/>
      <c r="M49" s="153"/>
      <c r="N49" s="153"/>
      <c r="O49" s="153"/>
      <c r="P49" s="153"/>
      <c r="Q49" s="153"/>
      <c r="R49" s="153"/>
      <c r="S49" s="153"/>
      <c r="T49" s="153"/>
    </row>
    <row r="50" spans="1:18" ht="15">
      <c r="A50" s="2">
        <v>4</v>
      </c>
      <c r="B50" t="s">
        <v>67</v>
      </c>
      <c r="C50" s="3">
        <v>0.8</v>
      </c>
      <c r="E50" s="153" t="s">
        <v>116</v>
      </c>
      <c r="F50" s="153"/>
      <c r="G50" s="153"/>
      <c r="H50" s="153"/>
      <c r="I50" s="153"/>
      <c r="J50" s="153"/>
      <c r="K50" s="153"/>
      <c r="L50" s="153"/>
      <c r="M50" s="153"/>
      <c r="N50" s="153"/>
      <c r="O50" s="153"/>
      <c r="P50" s="153"/>
      <c r="Q50" s="153"/>
      <c r="R50" s="153"/>
    </row>
    <row r="51" spans="1:3" ht="15">
      <c r="A51" s="2">
        <v>5</v>
      </c>
      <c r="B51" t="s">
        <v>113</v>
      </c>
      <c r="C51" s="3">
        <v>1</v>
      </c>
    </row>
    <row r="52" spans="1:20" ht="15">
      <c r="A52" s="33" t="s">
        <v>64</v>
      </c>
      <c r="B52" s="32"/>
      <c r="C52" s="32"/>
      <c r="D52" s="32"/>
      <c r="E52" s="32"/>
      <c r="F52" s="32"/>
      <c r="G52" s="32"/>
      <c r="H52" s="32"/>
      <c r="I52" s="32"/>
      <c r="J52" s="32"/>
      <c r="K52" s="32"/>
      <c r="L52" s="32"/>
      <c r="M52" s="32"/>
      <c r="N52" s="32"/>
      <c r="O52" s="32"/>
      <c r="P52" s="32"/>
      <c r="Q52" s="32"/>
      <c r="R52" s="32"/>
      <c r="S52" s="32"/>
      <c r="T52" s="32"/>
    </row>
    <row r="54" spans="1:8" ht="15">
      <c r="A54" s="92"/>
      <c r="B54" s="4"/>
      <c r="C54" s="4"/>
      <c r="D54" s="4"/>
      <c r="E54" s="4"/>
      <c r="F54" s="4"/>
      <c r="H54" s="56"/>
    </row>
    <row r="56" ht="15">
      <c r="H56" s="56"/>
    </row>
    <row r="62" spans="1:3" ht="15">
      <c r="A62" s="34" t="s">
        <v>57</v>
      </c>
      <c r="B62" s="5" t="s">
        <v>0</v>
      </c>
      <c r="C62" s="34" t="s">
        <v>57</v>
      </c>
    </row>
    <row r="63" spans="1:3" ht="15">
      <c r="A63" s="2">
        <v>1</v>
      </c>
      <c r="B63" t="s">
        <v>1</v>
      </c>
      <c r="C63" s="2">
        <v>1</v>
      </c>
    </row>
    <row r="64" spans="1:3" ht="15">
      <c r="A64" s="2">
        <v>2</v>
      </c>
      <c r="B64" t="s">
        <v>2</v>
      </c>
      <c r="C64" s="2">
        <v>2</v>
      </c>
    </row>
    <row r="65" spans="1:3" ht="15">
      <c r="A65" s="2">
        <v>3</v>
      </c>
      <c r="B65" t="s">
        <v>3</v>
      </c>
      <c r="C65" s="2">
        <v>3</v>
      </c>
    </row>
    <row r="66" spans="1:3" ht="15">
      <c r="A66" s="2">
        <v>4</v>
      </c>
      <c r="B66" t="s">
        <v>4</v>
      </c>
      <c r="C66" s="2">
        <v>4</v>
      </c>
    </row>
    <row r="67" spans="1:3" ht="15">
      <c r="A67" s="2">
        <v>5</v>
      </c>
      <c r="B67" t="s">
        <v>5</v>
      </c>
      <c r="C67" s="2">
        <v>5</v>
      </c>
    </row>
    <row r="68" spans="1:3" ht="15">
      <c r="A68" s="2">
        <v>6</v>
      </c>
      <c r="B68" t="s">
        <v>6</v>
      </c>
      <c r="C68" s="2">
        <v>6</v>
      </c>
    </row>
    <row r="69" spans="1:3" ht="15">
      <c r="A69" s="2">
        <v>7</v>
      </c>
      <c r="B69" t="s">
        <v>7</v>
      </c>
      <c r="C69" s="2">
        <v>7</v>
      </c>
    </row>
    <row r="70" spans="1:3" ht="15">
      <c r="A70" s="2">
        <v>8</v>
      </c>
      <c r="B70" t="s">
        <v>8</v>
      </c>
      <c r="C70" s="2">
        <v>8</v>
      </c>
    </row>
    <row r="71" spans="1:3" ht="15">
      <c r="A71" s="2">
        <v>9</v>
      </c>
      <c r="B71" t="s">
        <v>9</v>
      </c>
      <c r="C71" s="2">
        <v>9</v>
      </c>
    </row>
    <row r="72" spans="1:3" ht="15">
      <c r="A72" s="2">
        <v>10</v>
      </c>
      <c r="B72" t="s">
        <v>10</v>
      </c>
      <c r="C72" s="2">
        <v>10</v>
      </c>
    </row>
    <row r="73" spans="1:3" ht="15">
      <c r="A73" s="2">
        <v>11</v>
      </c>
      <c r="B73" t="s">
        <v>11</v>
      </c>
      <c r="C73" s="2">
        <v>11</v>
      </c>
    </row>
    <row r="74" spans="1:3" ht="15">
      <c r="A74" s="2">
        <v>12</v>
      </c>
      <c r="B74" t="s">
        <v>12</v>
      </c>
      <c r="C74" s="2">
        <v>12</v>
      </c>
    </row>
  </sheetData>
  <sheetProtection password="D24B" sheet="1" objects="1" scenarios="1"/>
  <mergeCells count="15">
    <mergeCell ref="E50:R50"/>
    <mergeCell ref="E47:P47"/>
    <mergeCell ref="E49:T49"/>
    <mergeCell ref="C21:O21"/>
    <mergeCell ref="R21:AD21"/>
    <mergeCell ref="F36:Q36"/>
    <mergeCell ref="F37:Q37"/>
    <mergeCell ref="F34:Q34"/>
    <mergeCell ref="E23:L23"/>
    <mergeCell ref="T23:AA23"/>
    <mergeCell ref="F31:Q31"/>
    <mergeCell ref="F33:Q33"/>
    <mergeCell ref="F35:Q35"/>
    <mergeCell ref="F32:Q32"/>
    <mergeCell ref="E48:Q48"/>
  </mergeCells>
  <hyperlinks>
    <hyperlink ref="T23" r:id="rId1" display="http://texaset.tamu.edu/pet.php"/>
    <hyperlink ref="E23" r:id="rId2" display="http://cdo.ncdc.noaa.gov/climatenormals/clim81/TXnorm.pdf"/>
    <hyperlink ref="F31" r:id="rId3" display="http://www.ose.state.nm.us/water-info/conservation/pdf-manuals/Roof-Reliant-Landscaping/RRL-Chapter-7.pdf"/>
    <hyperlink ref="F35" r:id="rId4" display="http://www.rainwaterconference.org/uploads/media/Rainwater_Harvesting_-_an_overview_.pdf"/>
    <hyperlink ref="F37" r:id="rId5" display="Average of all 4 green roof types from:  http://tah2.org/think/math/water-runoff"/>
    <hyperlink ref="E50" r:id="rId6" display="Crop evapotranspiration - Guidelines for computing crop water requirements - FAO Irrigation and drainage paper 56, 1998"/>
    <hyperlink ref="F32" r:id="rId7" display="www.epdmroofs.org/faqs/faq_design.shtml#22"/>
    <hyperlink ref="F31:Q31" r:id="rId8" display="www.ose.state.nm.us/water-info/conservation/pdf-manuals/Roof-Reliant-Landscaping/RRL-Chapter-7.pdf"/>
    <hyperlink ref="F33" r:id="rId9" display="http://www.ose.state.nm.us/water-info/conservation/pdf-manuals/Roof-Reliant-Landscaping/RRL-Chapter-7.pdf"/>
    <hyperlink ref="F34" r:id="rId10" display="http://www.ose.state.nm.us/water-info/conservation/pdf-manuals/Roof-Reliant-Landscaping/RRL-Chapter-7.pdf"/>
    <hyperlink ref="F33:Q34" r:id="rId11" display="www.ose.state.nm.us/water-info/conservation/pdf-manuals/Roof-Reliant-Landscaping/RRL-Chapter-7.pdf"/>
    <hyperlink ref="F35:Q35" r:id="rId12" display="www.rainwaterconference.org/uploads/media/Rainwater_Harvesting_-_an_overview_.pdf"/>
    <hyperlink ref="F36" r:id="rId13" display="http://www.rainwaterconference.org/uploads/media/Rainwater_Harvesting_-_an_overview_.pdf"/>
    <hyperlink ref="F36:Q36" r:id="rId14" display="www.rainwaterconference.org/uploads/media/Rainwater_Harvesting_-_an_overview_.pdf"/>
    <hyperlink ref="E48" r:id="rId15" display="Native and Adapted Landscape Plants - Texas AgriLife and City of Austin Grow Green guide, 2009"/>
    <hyperlink ref="E49" r:id="rId16" display="A Guide to Estimating Irrigation Water Needs of Landscape Plantings in California - The Landscape Coefficient Method and WUCOLS III, August 2000"/>
    <hyperlink ref="E47" r:id="rId17" display="A Watering Guide for Texas Landscape - Texas Water Development Board and Texas AgriLife, 2010"/>
    <hyperlink ref="E48:O48" r:id="rId18" display="Native and Adapted Landscape Plants, an earthwise guide for Central Texas - City of Austin and Texas AgriLife, 2009"/>
  </hyperlinks>
  <printOptions/>
  <pageMargins left="0.4" right="0.4" top="0.5" bottom="0.5" header="0.3" footer="0.3"/>
  <pageSetup fitToHeight="3" fitToWidth="1" horizontalDpi="600" verticalDpi="600" orientation="landscape" paperSize="5" scale="69" r:id="rId21"/>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Water Development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TWDB RWH System Sizing Calculator</dc:title>
  <dc:subject/>
  <dc:creator>Eric Aschenbach, Bridget Cameron</dc:creator>
  <cp:keywords>TWDB, RWH, rainwater, calculator, supply, demand, storage</cp:keywords>
  <dc:description/>
  <cp:lastModifiedBy>Eric Aschenbach</cp:lastModifiedBy>
  <cp:lastPrinted>2010-11-24T17:45:24Z</cp:lastPrinted>
  <dcterms:created xsi:type="dcterms:W3CDTF">2010-07-01T14:31:46Z</dcterms:created>
  <dcterms:modified xsi:type="dcterms:W3CDTF">2010-12-01T15:47:37Z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